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035" tabRatio="857"/>
  </bookViews>
  <sheets>
    <sheet name="NL1" sheetId="1" r:id="rId1"/>
    <sheet name="NL2" sheetId="7" r:id="rId2"/>
    <sheet name="NL3" sheetId="8" r:id="rId3"/>
    <sheet name="NL4" sheetId="9" r:id="rId4"/>
    <sheet name="NL5" sheetId="10" r:id="rId5"/>
    <sheet name="NL6" sheetId="11" r:id="rId6"/>
    <sheet name="NL7" sheetId="12" r:id="rId7"/>
    <sheet name="NL10" sheetId="13" r:id="rId8"/>
    <sheet name="NL12" sheetId="14" r:id="rId9"/>
    <sheet name="NL13" sheetId="15" r:id="rId10"/>
    <sheet name="NL14" sheetId="16" r:id="rId11"/>
    <sheet name="NL15" sheetId="17" r:id="rId12"/>
    <sheet name="NL17" sheetId="18" r:id="rId13"/>
    <sheet name="NL23" sheetId="2" r:id="rId14"/>
    <sheet name="NL25" sheetId="3" r:id="rId15"/>
    <sheet name="NL30" sheetId="4" r:id="rId16"/>
    <sheet name="NL33" sheetId="5" r:id="rId17"/>
    <sheet name="NL40" sheetId="6" r:id="rId18"/>
  </sheets>
  <calcPr calcId="152511"/>
</workbook>
</file>

<file path=xl/calcChain.xml><?xml version="1.0" encoding="utf-8"?>
<calcChain xmlns="http://schemas.openxmlformats.org/spreadsheetml/2006/main">
  <c r="FJ15" i="2" l="1"/>
  <c r="FI15" i="2"/>
  <c r="FH15" i="2"/>
  <c r="FG15" i="2"/>
  <c r="FF15" i="2"/>
  <c r="FE15" i="2"/>
  <c r="FD15" i="2"/>
  <c r="FC15" i="2"/>
  <c r="FB15" i="2"/>
  <c r="FA15" i="2"/>
  <c r="DL15" i="2" l="1"/>
  <c r="DK9" i="2"/>
  <c r="DJ9" i="2"/>
  <c r="DI9" i="2"/>
  <c r="AH13" i="18"/>
  <c r="U11" i="16"/>
  <c r="X10" i="15"/>
  <c r="BW35" i="14"/>
  <c r="BW19" i="14"/>
  <c r="BV35" i="14"/>
  <c r="BV19" i="14"/>
  <c r="BR14" i="14"/>
  <c r="AH22" i="11"/>
  <c r="AH21" i="11"/>
  <c r="AH19" i="11"/>
  <c r="AH15" i="11"/>
  <c r="AH14" i="11"/>
  <c r="AH31" i="10" l="1"/>
  <c r="AH27" i="10"/>
  <c r="AH30" i="10"/>
  <c r="AH29" i="10"/>
  <c r="AH25" i="10"/>
  <c r="AH21" i="10"/>
  <c r="AH20" i="10"/>
  <c r="AH19" i="10"/>
  <c r="AH25" i="9" l="1"/>
  <c r="AH24" i="9"/>
  <c r="AH23" i="9"/>
  <c r="AH21" i="9"/>
  <c r="AH17" i="9"/>
  <c r="AH16" i="9"/>
  <c r="AH15" i="9"/>
  <c r="AH13" i="9"/>
  <c r="AF14" i="8" l="1"/>
  <c r="AH14" i="8"/>
  <c r="AH7" i="8"/>
  <c r="AG7" i="8"/>
  <c r="Z7" i="8"/>
  <c r="AH23" i="7" l="1"/>
  <c r="Z23" i="7"/>
  <c r="AH13" i="1" l="1"/>
  <c r="AH11" i="1"/>
  <c r="AH10" i="1"/>
  <c r="AH9" i="1"/>
  <c r="AH8" i="1"/>
  <c r="AH7" i="1"/>
  <c r="AH5" i="1"/>
  <c r="AH4" i="1"/>
  <c r="Z13" i="1"/>
  <c r="Z11" i="1"/>
  <c r="Z10" i="1"/>
  <c r="Z9" i="1"/>
  <c r="Z8" i="1"/>
  <c r="Z7" i="1"/>
  <c r="Z5" i="1"/>
  <c r="Z4" i="1"/>
  <c r="X13" i="1"/>
  <c r="X11" i="1"/>
  <c r="X10" i="1"/>
  <c r="X9" i="1"/>
  <c r="X8" i="1"/>
  <c r="X7" i="1"/>
  <c r="X5" i="1"/>
  <c r="X4" i="1"/>
  <c r="I7" i="17" l="1"/>
  <c r="X29" i="14"/>
  <c r="X22" i="14"/>
  <c r="X13" i="14"/>
  <c r="X6" i="14"/>
  <c r="W29" i="14"/>
  <c r="W22" i="14"/>
  <c r="W13" i="14"/>
  <c r="W6" i="14"/>
  <c r="AB20" i="10" l="1"/>
  <c r="AB19" i="10"/>
  <c r="Y22" i="11"/>
  <c r="Y21" i="11"/>
  <c r="Y19" i="11"/>
  <c r="Y31" i="10"/>
  <c r="Y30" i="10"/>
  <c r="Y29" i="10"/>
  <c r="Y25" i="10"/>
  <c r="L22" i="11"/>
  <c r="L21" i="11"/>
  <c r="L19" i="11"/>
  <c r="L15" i="11"/>
  <c r="L14" i="11"/>
  <c r="L31" i="10"/>
  <c r="L30" i="10"/>
  <c r="L29" i="10"/>
  <c r="L25" i="10"/>
  <c r="L21" i="10"/>
  <c r="L20" i="10"/>
  <c r="L19" i="10"/>
  <c r="L15" i="10"/>
  <c r="M7" i="12"/>
  <c r="Z35" i="14"/>
  <c r="Z19" i="14"/>
  <c r="AA35" i="14"/>
  <c r="AA19" i="14"/>
  <c r="R19" i="14"/>
  <c r="Q19" i="14"/>
  <c r="AJ35" i="14"/>
  <c r="AI35" i="14"/>
  <c r="J35" i="14"/>
  <c r="J36" i="14"/>
  <c r="F34" i="14"/>
  <c r="F18" i="14"/>
  <c r="C34" i="14"/>
  <c r="B34" i="14"/>
  <c r="CO19" i="14"/>
  <c r="CN19" i="14"/>
  <c r="CE14" i="14"/>
  <c r="CB36" i="14"/>
  <c r="CA34" i="14"/>
  <c r="CA29" i="14"/>
  <c r="CA28" i="14"/>
  <c r="CA23" i="14"/>
  <c r="CA22" i="14"/>
  <c r="CA19" i="14"/>
  <c r="CA18" i="14"/>
  <c r="CA10" i="14"/>
  <c r="CA13" i="14"/>
  <c r="CA7" i="14"/>
  <c r="CA6" i="14"/>
  <c r="AG19" i="14"/>
  <c r="AF19" i="14"/>
  <c r="O35" i="14"/>
  <c r="O19" i="14"/>
  <c r="N35" i="14"/>
  <c r="N19" i="14"/>
  <c r="EY15" i="2" l="1"/>
  <c r="EX15" i="2"/>
  <c r="EW15" i="2"/>
  <c r="EV15" i="2"/>
  <c r="AT14" i="2" l="1"/>
  <c r="AS14" i="2"/>
  <c r="AR14" i="2"/>
  <c r="AQ14" i="2"/>
  <c r="AP14" i="2"/>
  <c r="AP35" i="14"/>
  <c r="AP19" i="14"/>
  <c r="AO35" i="14"/>
  <c r="AO19" i="14"/>
  <c r="Q22" i="11"/>
  <c r="Q21" i="11"/>
  <c r="Q19" i="11"/>
  <c r="Q31" i="10"/>
  <c r="Q27" i="10"/>
  <c r="Q30" i="10"/>
  <c r="Q29" i="10"/>
  <c r="Q25" i="10"/>
  <c r="BA19" i="14"/>
  <c r="Q25" i="9" l="1"/>
  <c r="Q24" i="9"/>
  <c r="Q23" i="9"/>
  <c r="Q21" i="9"/>
  <c r="Y23" i="9"/>
  <c r="Y21" i="9"/>
  <c r="Y24" i="9"/>
  <c r="Y25" i="9"/>
  <c r="L25" i="9"/>
  <c r="L24" i="9"/>
  <c r="L23" i="9"/>
  <c r="L21" i="9"/>
  <c r="L17" i="9"/>
  <c r="L16" i="9"/>
  <c r="L15" i="9"/>
  <c r="L13" i="9"/>
  <c r="BO11" i="3" l="1"/>
  <c r="BM11" i="3"/>
  <c r="CG14" i="3"/>
  <c r="CE14" i="3"/>
  <c r="R7" i="8" l="1"/>
  <c r="Q7" i="8"/>
  <c r="O7" i="8"/>
  <c r="J7" i="8"/>
  <c r="G7" i="8"/>
  <c r="M7" i="8"/>
  <c r="B7" i="8"/>
  <c r="AF7" i="8" l="1"/>
  <c r="AE7" i="8"/>
  <c r="AC7" i="8"/>
  <c r="AB14" i="8"/>
  <c r="AB7" i="8"/>
  <c r="Y7" i="8"/>
  <c r="N7" i="8"/>
  <c r="L14" i="8"/>
  <c r="L7" i="8"/>
  <c r="H7" i="8"/>
  <c r="V7" i="8"/>
  <c r="F14" i="8"/>
  <c r="F7" i="8"/>
  <c r="L24" i="16" l="1"/>
  <c r="D15" i="16" l="1"/>
  <c r="L23" i="7" l="1"/>
  <c r="N23" i="7"/>
  <c r="AC23" i="7"/>
  <c r="AF23" i="7"/>
  <c r="J23" i="7"/>
  <c r="J9" i="7"/>
  <c r="O23" i="7"/>
  <c r="W23" i="7"/>
  <c r="W13" i="1"/>
  <c r="W11" i="1"/>
  <c r="W10" i="1"/>
  <c r="W9" i="1"/>
  <c r="W8" i="1"/>
  <c r="W7" i="1"/>
  <c r="W5" i="1"/>
  <c r="W4" i="1"/>
  <c r="S5" i="1"/>
  <c r="Q13" i="1"/>
  <c r="Q11" i="1"/>
  <c r="Q10" i="1"/>
  <c r="Q9" i="1"/>
  <c r="Q8" i="1"/>
  <c r="Q7" i="1"/>
  <c r="Q5" i="1"/>
  <c r="Q4" i="1"/>
  <c r="O13" i="1"/>
  <c r="O11" i="1"/>
  <c r="O10" i="1"/>
  <c r="O9" i="1"/>
  <c r="O8" i="1"/>
  <c r="O7" i="1"/>
  <c r="O5" i="1"/>
  <c r="O4" i="1"/>
  <c r="G13" i="1"/>
  <c r="G11" i="1"/>
  <c r="G10" i="1"/>
  <c r="G9" i="1"/>
  <c r="G8" i="1"/>
  <c r="G7" i="1"/>
  <c r="G5" i="1"/>
  <c r="G4" i="1"/>
  <c r="BQ13" i="6" l="1"/>
  <c r="BP13" i="6"/>
  <c r="BQ10" i="6"/>
  <c r="BP10" i="6"/>
  <c r="BQ9" i="6"/>
  <c r="BP9" i="6"/>
  <c r="BQ8" i="6"/>
  <c r="BP8" i="6"/>
  <c r="BQ7" i="6"/>
  <c r="BP7" i="6"/>
  <c r="BQ6" i="6"/>
  <c r="BP6" i="6"/>
  <c r="BQ5" i="6"/>
  <c r="BP5" i="6"/>
  <c r="CU5" i="3"/>
  <c r="CU6" i="3"/>
  <c r="CU7" i="3"/>
  <c r="CU8" i="3"/>
  <c r="CU9" i="3"/>
  <c r="CU10" i="3"/>
  <c r="CU11" i="3"/>
  <c r="CU12" i="3"/>
  <c r="CU13" i="3"/>
  <c r="CU14" i="3"/>
  <c r="BD15" i="2"/>
  <c r="BC15" i="2"/>
  <c r="BB15" i="2"/>
  <c r="BA15" i="2"/>
  <c r="AZ15" i="2"/>
  <c r="V9" i="13" l="1"/>
  <c r="AI7" i="11" l="1"/>
  <c r="AI6" i="11"/>
  <c r="AI13" i="11"/>
  <c r="AI20" i="11"/>
  <c r="AI28" i="11"/>
  <c r="AI27" i="11"/>
  <c r="AI35" i="11"/>
  <c r="AI34" i="11"/>
  <c r="AI42" i="11"/>
  <c r="AI41" i="11"/>
  <c r="AI49" i="11"/>
  <c r="AI48" i="11"/>
  <c r="AI56" i="11"/>
  <c r="AI55" i="11"/>
  <c r="AI70" i="11"/>
  <c r="AI69" i="11"/>
  <c r="AH63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R63" i="11"/>
  <c r="Q63" i="11"/>
  <c r="P63" i="11"/>
  <c r="N63" i="11"/>
  <c r="L63" i="11"/>
  <c r="K63" i="11"/>
  <c r="J63" i="11"/>
  <c r="I63" i="11"/>
  <c r="H63" i="11"/>
  <c r="G63" i="11"/>
  <c r="F63" i="11"/>
  <c r="E63" i="11"/>
  <c r="D63" i="11"/>
  <c r="C63" i="11"/>
  <c r="B63" i="11"/>
  <c r="AH62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B62" i="11"/>
  <c r="AI10" i="10"/>
  <c r="AI9" i="10"/>
  <c r="AI8" i="10"/>
  <c r="AI7" i="10"/>
  <c r="AI6" i="10"/>
  <c r="AI20" i="10"/>
  <c r="AI18" i="10"/>
  <c r="AI17" i="10"/>
  <c r="AI16" i="10"/>
  <c r="AI26" i="10"/>
  <c r="AI40" i="10"/>
  <c r="AI39" i="10"/>
  <c r="AI38" i="10"/>
  <c r="AI37" i="10"/>
  <c r="AI36" i="10"/>
  <c r="AI50" i="10"/>
  <c r="AI49" i="10"/>
  <c r="AI48" i="10"/>
  <c r="AI47" i="10"/>
  <c r="AI46" i="10"/>
  <c r="AI60" i="10"/>
  <c r="AI59" i="10"/>
  <c r="AI58" i="10"/>
  <c r="AI57" i="10"/>
  <c r="AI56" i="10"/>
  <c r="AI70" i="10"/>
  <c r="AI69" i="10"/>
  <c r="AI68" i="10"/>
  <c r="AI67" i="10"/>
  <c r="AI66" i="10"/>
  <c r="AI80" i="10"/>
  <c r="AI79" i="10"/>
  <c r="AI78" i="10"/>
  <c r="AI77" i="10"/>
  <c r="AI76" i="10"/>
  <c r="AI100" i="10"/>
  <c r="AI99" i="10"/>
  <c r="AI98" i="10"/>
  <c r="AI97" i="10"/>
  <c r="AI96" i="10"/>
  <c r="AH90" i="10"/>
  <c r="AG90" i="10"/>
  <c r="AF90" i="10"/>
  <c r="AE90" i="10"/>
  <c r="AD90" i="10"/>
  <c r="AC90" i="10"/>
  <c r="AB90" i="10"/>
  <c r="AA90" i="10"/>
  <c r="Z90" i="10"/>
  <c r="X90" i="10"/>
  <c r="W90" i="10"/>
  <c r="V90" i="10"/>
  <c r="U90" i="10"/>
  <c r="T90" i="10"/>
  <c r="R90" i="10"/>
  <c r="Q90" i="10"/>
  <c r="P90" i="10"/>
  <c r="N90" i="10"/>
  <c r="L90" i="10"/>
  <c r="K90" i="10"/>
  <c r="J90" i="10"/>
  <c r="I90" i="10"/>
  <c r="H90" i="10"/>
  <c r="G90" i="10"/>
  <c r="F90" i="10"/>
  <c r="E90" i="10"/>
  <c r="D90" i="10"/>
  <c r="C90" i="10"/>
  <c r="B90" i="10"/>
  <c r="AH89" i="10"/>
  <c r="AG89" i="10"/>
  <c r="AF89" i="10"/>
  <c r="AE89" i="10"/>
  <c r="AD89" i="10"/>
  <c r="AC89" i="10"/>
  <c r="AB89" i="10"/>
  <c r="AA89" i="10"/>
  <c r="Z89" i="10"/>
  <c r="X89" i="10"/>
  <c r="W89" i="10"/>
  <c r="V89" i="10"/>
  <c r="U89" i="10"/>
  <c r="T89" i="10"/>
  <c r="R89" i="10"/>
  <c r="Q89" i="10"/>
  <c r="P89" i="10"/>
  <c r="N89" i="10"/>
  <c r="L89" i="10"/>
  <c r="K89" i="10"/>
  <c r="J89" i="10"/>
  <c r="I89" i="10"/>
  <c r="H89" i="10"/>
  <c r="G89" i="10"/>
  <c r="F89" i="10"/>
  <c r="E89" i="10"/>
  <c r="D89" i="10"/>
  <c r="C89" i="10"/>
  <c r="B89" i="10"/>
  <c r="AH88" i="10"/>
  <c r="AG88" i="10"/>
  <c r="AF88" i="10"/>
  <c r="AE88" i="10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R88" i="10"/>
  <c r="Q88" i="10"/>
  <c r="P88" i="10"/>
  <c r="O88" i="10"/>
  <c r="N88" i="10"/>
  <c r="L88" i="10"/>
  <c r="K88" i="10"/>
  <c r="J88" i="10"/>
  <c r="I88" i="10"/>
  <c r="H88" i="10"/>
  <c r="G88" i="10"/>
  <c r="F88" i="10"/>
  <c r="E88" i="10"/>
  <c r="D88" i="10"/>
  <c r="C88" i="10"/>
  <c r="B88" i="10"/>
  <c r="AH87" i="10"/>
  <c r="AG87" i="10"/>
  <c r="AF87" i="10"/>
  <c r="AE87" i="10"/>
  <c r="AD87" i="10"/>
  <c r="AC87" i="10"/>
  <c r="AB87" i="10"/>
  <c r="AA87" i="10"/>
  <c r="Z87" i="10"/>
  <c r="Y87" i="10"/>
  <c r="X87" i="10"/>
  <c r="W87" i="10"/>
  <c r="V87" i="10"/>
  <c r="U87" i="10"/>
  <c r="T87" i="10"/>
  <c r="R87" i="10"/>
  <c r="Q87" i="10"/>
  <c r="P87" i="10"/>
  <c r="O87" i="10"/>
  <c r="N87" i="10"/>
  <c r="L87" i="10"/>
  <c r="K87" i="10"/>
  <c r="J87" i="10"/>
  <c r="I87" i="10"/>
  <c r="H87" i="10"/>
  <c r="G87" i="10"/>
  <c r="F87" i="10"/>
  <c r="E87" i="10"/>
  <c r="D87" i="10"/>
  <c r="C87" i="10"/>
  <c r="B87" i="10"/>
  <c r="AH86" i="10"/>
  <c r="AG86" i="10"/>
  <c r="AF86" i="10"/>
  <c r="AE86" i="10"/>
  <c r="AD86" i="10"/>
  <c r="AC86" i="10"/>
  <c r="AB86" i="10"/>
  <c r="AA86" i="10"/>
  <c r="Z86" i="10"/>
  <c r="Y86" i="10"/>
  <c r="X86" i="10"/>
  <c r="W86" i="10"/>
  <c r="V86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B86" i="10"/>
  <c r="AH71" i="9"/>
  <c r="AG71" i="9"/>
  <c r="AF71" i="9"/>
  <c r="AE71" i="9"/>
  <c r="AD71" i="9"/>
  <c r="AC71" i="9"/>
  <c r="AB71" i="9"/>
  <c r="AA71" i="9"/>
  <c r="Z71" i="9"/>
  <c r="X71" i="9"/>
  <c r="W71" i="9"/>
  <c r="V71" i="9"/>
  <c r="U71" i="9"/>
  <c r="T71" i="9"/>
  <c r="R71" i="9"/>
  <c r="Q71" i="9"/>
  <c r="P71" i="9"/>
  <c r="N71" i="9"/>
  <c r="L71" i="9"/>
  <c r="K71" i="9"/>
  <c r="J71" i="9"/>
  <c r="I71" i="9"/>
  <c r="H71" i="9"/>
  <c r="G71" i="9"/>
  <c r="F71" i="9"/>
  <c r="E71" i="9"/>
  <c r="D71" i="9"/>
  <c r="C71" i="9"/>
  <c r="AH70" i="9"/>
  <c r="AG70" i="9"/>
  <c r="AF70" i="9"/>
  <c r="AE70" i="9"/>
  <c r="AD70" i="9"/>
  <c r="AC70" i="9"/>
  <c r="AB70" i="9"/>
  <c r="AA70" i="9"/>
  <c r="Z70" i="9"/>
  <c r="Y70" i="9"/>
  <c r="X70" i="9"/>
  <c r="W70" i="9"/>
  <c r="V70" i="9"/>
  <c r="U70" i="9"/>
  <c r="T70" i="9"/>
  <c r="S70" i="9"/>
  <c r="R70" i="9"/>
  <c r="Q70" i="9"/>
  <c r="P70" i="9"/>
  <c r="O70" i="9"/>
  <c r="N70" i="9"/>
  <c r="M70" i="9"/>
  <c r="L70" i="9"/>
  <c r="K70" i="9"/>
  <c r="J70" i="9"/>
  <c r="I70" i="9"/>
  <c r="H70" i="9"/>
  <c r="G70" i="9"/>
  <c r="F70" i="9"/>
  <c r="E70" i="9"/>
  <c r="D70" i="9"/>
  <c r="C70" i="9"/>
  <c r="B70" i="9"/>
  <c r="AI63" i="9"/>
  <c r="AI62" i="9"/>
  <c r="AI55" i="9"/>
  <c r="AI54" i="9"/>
  <c r="AI47" i="9"/>
  <c r="AI46" i="9"/>
  <c r="AI39" i="9"/>
  <c r="AI38" i="9"/>
  <c r="AI31" i="9"/>
  <c r="AI30" i="9"/>
  <c r="AI22" i="9"/>
  <c r="AI15" i="9"/>
  <c r="AI14" i="9"/>
  <c r="AI7" i="9"/>
  <c r="AI6" i="9"/>
  <c r="AI79" i="9"/>
  <c r="AI78" i="9"/>
  <c r="O63" i="11"/>
  <c r="AI14" i="11"/>
  <c r="O90" i="10"/>
  <c r="O89" i="10"/>
  <c r="AI19" i="10"/>
  <c r="O71" i="9"/>
  <c r="Y90" i="10"/>
  <c r="Y89" i="10"/>
  <c r="Y71" i="9"/>
  <c r="S63" i="11"/>
  <c r="S87" i="10"/>
  <c r="S90" i="10"/>
  <c r="S89" i="10"/>
  <c r="S71" i="9"/>
  <c r="AI62" i="11" l="1"/>
  <c r="AI86" i="10"/>
  <c r="AI70" i="9"/>
  <c r="M71" i="9"/>
  <c r="AI21" i="11" l="1"/>
  <c r="M63" i="11"/>
  <c r="AI63" i="11" s="1"/>
  <c r="AI29" i="10"/>
  <c r="M89" i="10"/>
  <c r="AI89" i="10" s="1"/>
  <c r="AI30" i="10"/>
  <c r="M90" i="10"/>
  <c r="AI90" i="10" s="1"/>
  <c r="M87" i="10"/>
  <c r="AI87" i="10" s="1"/>
  <c r="AI27" i="10"/>
  <c r="AI28" i="10"/>
  <c r="M88" i="10"/>
  <c r="AI88" i="10" s="1"/>
  <c r="B71" i="9"/>
  <c r="AI71" i="9" s="1"/>
  <c r="AI23" i="9"/>
  <c r="BI16" i="14"/>
  <c r="BI15" i="14"/>
  <c r="BI14" i="14"/>
  <c r="BI13" i="14"/>
  <c r="BI12" i="14"/>
  <c r="BI11" i="14"/>
  <c r="BI10" i="14"/>
  <c r="BI9" i="14"/>
  <c r="X14" i="6" l="1"/>
  <c r="AC15" i="16" l="1"/>
  <c r="AI4" i="16"/>
  <c r="AI5" i="16"/>
  <c r="AI6" i="16"/>
  <c r="AI7" i="16"/>
  <c r="AI8" i="16"/>
  <c r="AI9" i="16"/>
  <c r="AI10" i="16"/>
  <c r="AI12" i="16"/>
  <c r="AI13" i="16"/>
  <c r="AI14" i="16"/>
  <c r="B15" i="16"/>
  <c r="C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D15" i="16"/>
  <c r="AE15" i="16"/>
  <c r="AF15" i="16"/>
  <c r="AG15" i="16"/>
  <c r="AH15" i="16"/>
  <c r="AI16" i="16"/>
  <c r="AI17" i="16"/>
  <c r="AI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X19" i="16"/>
  <c r="Y19" i="16"/>
  <c r="Z19" i="16"/>
  <c r="AA19" i="16"/>
  <c r="AB19" i="16"/>
  <c r="AC19" i="16"/>
  <c r="AD19" i="16"/>
  <c r="AE19" i="16"/>
  <c r="AF19" i="16"/>
  <c r="AG19" i="16"/>
  <c r="AH19" i="16"/>
  <c r="CU36" i="14"/>
  <c r="CT36" i="14"/>
  <c r="CR36" i="14"/>
  <c r="CQ36" i="14"/>
  <c r="CN36" i="14"/>
  <c r="CL36" i="14"/>
  <c r="CK36" i="14"/>
  <c r="CI36" i="14"/>
  <c r="CH36" i="14"/>
  <c r="CE36" i="14"/>
  <c r="CC36" i="14"/>
  <c r="BZ36" i="14"/>
  <c r="BY36" i="14"/>
  <c r="BV36" i="14"/>
  <c r="BT36" i="14"/>
  <c r="BS36" i="14"/>
  <c r="BQ36" i="14"/>
  <c r="BQ37" i="14" s="1"/>
  <c r="BP36" i="14"/>
  <c r="BP37" i="14" s="1"/>
  <c r="BN36" i="14"/>
  <c r="BM36" i="14"/>
  <c r="BK36" i="14"/>
  <c r="BJ36" i="14"/>
  <c r="BH36" i="14"/>
  <c r="BG36" i="14"/>
  <c r="BE36" i="14"/>
  <c r="BD36" i="14"/>
  <c r="BB36" i="14"/>
  <c r="BA36" i="14"/>
  <c r="AY36" i="14"/>
  <c r="AX36" i="14"/>
  <c r="AS36" i="14"/>
  <c r="AR36" i="14"/>
  <c r="AP36" i="14"/>
  <c r="AO36" i="14"/>
  <c r="AM36" i="14"/>
  <c r="AL36" i="14"/>
  <c r="AJ36" i="14"/>
  <c r="AI36" i="14"/>
  <c r="AD36" i="14"/>
  <c r="AC36" i="14"/>
  <c r="Z36" i="14"/>
  <c r="X36" i="14"/>
  <c r="W36" i="14"/>
  <c r="U36" i="14"/>
  <c r="T36" i="14"/>
  <c r="O36" i="14"/>
  <c r="N36" i="14"/>
  <c r="L36" i="14"/>
  <c r="K36" i="14"/>
  <c r="I36" i="14"/>
  <c r="H36" i="14"/>
  <c r="H37" i="14" s="1"/>
  <c r="E36" i="14"/>
  <c r="C36" i="14"/>
  <c r="B36" i="14"/>
  <c r="CV35" i="14"/>
  <c r="CP35" i="14"/>
  <c r="CM35" i="14"/>
  <c r="CJ35" i="14"/>
  <c r="CG35" i="14"/>
  <c r="CD35" i="14"/>
  <c r="BX35" i="14"/>
  <c r="BW36" i="14"/>
  <c r="BU35" i="14"/>
  <c r="BR35" i="14"/>
  <c r="BO35" i="14"/>
  <c r="BL35" i="14"/>
  <c r="BI35" i="14"/>
  <c r="BF35" i="14"/>
  <c r="BC35" i="14"/>
  <c r="AZ35" i="14"/>
  <c r="AW35" i="14"/>
  <c r="AT35" i="14"/>
  <c r="AQ35" i="14"/>
  <c r="AN35" i="14"/>
  <c r="AK35" i="14"/>
  <c r="AH35" i="14"/>
  <c r="AE35" i="14"/>
  <c r="AB35" i="14"/>
  <c r="Y35" i="14"/>
  <c r="V35" i="14"/>
  <c r="S35" i="14"/>
  <c r="Q36" i="14"/>
  <c r="P35" i="14"/>
  <c r="M35" i="14"/>
  <c r="G35" i="14"/>
  <c r="D35" i="14"/>
  <c r="CV34" i="14"/>
  <c r="CP34" i="14"/>
  <c r="CM34" i="14"/>
  <c r="CJ34" i="14"/>
  <c r="CG34" i="14"/>
  <c r="CD34" i="14"/>
  <c r="BX34" i="14"/>
  <c r="BU34" i="14"/>
  <c r="BO34" i="14"/>
  <c r="BL34" i="14"/>
  <c r="BI34" i="14"/>
  <c r="BF34" i="14"/>
  <c r="BC34" i="14"/>
  <c r="AZ34" i="14"/>
  <c r="AW34" i="14"/>
  <c r="AT34" i="14"/>
  <c r="AQ34" i="14"/>
  <c r="AN34" i="14"/>
  <c r="AK34" i="14"/>
  <c r="AH34" i="14"/>
  <c r="AE34" i="14"/>
  <c r="AB34" i="14"/>
  <c r="Y34" i="14"/>
  <c r="V34" i="14"/>
  <c r="S34" i="14"/>
  <c r="P34" i="14"/>
  <c r="M34" i="14"/>
  <c r="F36" i="14"/>
  <c r="D34" i="14"/>
  <c r="CV33" i="14"/>
  <c r="CS33" i="14"/>
  <c r="CP33" i="14"/>
  <c r="CM33" i="14"/>
  <c r="CJ33" i="14"/>
  <c r="CG33" i="14"/>
  <c r="CD33" i="14"/>
  <c r="CA33" i="14"/>
  <c r="BX33" i="14"/>
  <c r="BU33" i="14"/>
  <c r="BR33" i="14"/>
  <c r="BO33" i="14"/>
  <c r="BL33" i="14"/>
  <c r="BI33" i="14"/>
  <c r="BF33" i="14"/>
  <c r="BC33" i="14"/>
  <c r="AZ33" i="14"/>
  <c r="AW33" i="14"/>
  <c r="AT33" i="14"/>
  <c r="AQ33" i="14"/>
  <c r="AN33" i="14"/>
  <c r="AK33" i="14"/>
  <c r="AH33" i="14"/>
  <c r="AE33" i="14"/>
  <c r="AB33" i="14"/>
  <c r="Y33" i="14"/>
  <c r="V33" i="14"/>
  <c r="S33" i="14"/>
  <c r="P33" i="14"/>
  <c r="M33" i="14"/>
  <c r="J33" i="14"/>
  <c r="G33" i="14"/>
  <c r="D33" i="14"/>
  <c r="CV32" i="14"/>
  <c r="CS32" i="14"/>
  <c r="CP32" i="14"/>
  <c r="CM32" i="14"/>
  <c r="CJ32" i="14"/>
  <c r="CG32" i="14"/>
  <c r="CD32" i="14"/>
  <c r="CA32" i="14"/>
  <c r="BX32" i="14"/>
  <c r="BU32" i="14"/>
  <c r="BR32" i="14"/>
  <c r="BO32" i="14"/>
  <c r="BL32" i="14"/>
  <c r="BI32" i="14"/>
  <c r="BF32" i="14"/>
  <c r="BC32" i="14"/>
  <c r="AZ32" i="14"/>
  <c r="AW32" i="14"/>
  <c r="AT32" i="14"/>
  <c r="AQ32" i="14"/>
  <c r="AN32" i="14"/>
  <c r="AK32" i="14"/>
  <c r="AH32" i="14"/>
  <c r="AE32" i="14"/>
  <c r="AA36" i="14"/>
  <c r="Y32" i="14"/>
  <c r="V32" i="14"/>
  <c r="S32" i="14"/>
  <c r="P32" i="14"/>
  <c r="M32" i="14"/>
  <c r="J32" i="14"/>
  <c r="G32" i="14"/>
  <c r="D32" i="14"/>
  <c r="CV31" i="14"/>
  <c r="CS31" i="14"/>
  <c r="CP31" i="14"/>
  <c r="CM31" i="14"/>
  <c r="CJ31" i="14"/>
  <c r="CG31" i="14"/>
  <c r="CD31" i="14"/>
  <c r="CA31" i="14"/>
  <c r="BX31" i="14"/>
  <c r="BU31" i="14"/>
  <c r="BR31" i="14"/>
  <c r="BO31" i="14"/>
  <c r="BL31" i="14"/>
  <c r="BI31" i="14"/>
  <c r="BF31" i="14"/>
  <c r="BC31" i="14"/>
  <c r="AZ31" i="14"/>
  <c r="AW31" i="14"/>
  <c r="AT31" i="14"/>
  <c r="AQ31" i="14"/>
  <c r="AN31" i="14"/>
  <c r="AK31" i="14"/>
  <c r="AH31" i="14"/>
  <c r="AE31" i="14"/>
  <c r="AB31" i="14"/>
  <c r="Y31" i="14"/>
  <c r="V31" i="14"/>
  <c r="S31" i="14"/>
  <c r="P31" i="14"/>
  <c r="M31" i="14"/>
  <c r="G31" i="14"/>
  <c r="D31" i="14"/>
  <c r="CV30" i="14"/>
  <c r="CS30" i="14"/>
  <c r="CP30" i="14"/>
  <c r="CM30" i="14"/>
  <c r="CJ30" i="14"/>
  <c r="CG30" i="14"/>
  <c r="CD30" i="14"/>
  <c r="CA30" i="14"/>
  <c r="BX30" i="14"/>
  <c r="BU30" i="14"/>
  <c r="BR30" i="14"/>
  <c r="BO30" i="14"/>
  <c r="BL30" i="14"/>
  <c r="BI30" i="14"/>
  <c r="BF30" i="14"/>
  <c r="BC30" i="14"/>
  <c r="AZ30" i="14"/>
  <c r="AV36" i="14"/>
  <c r="AU36" i="14"/>
  <c r="AT30" i="14"/>
  <c r="AQ30" i="14"/>
  <c r="AN30" i="14"/>
  <c r="AK30" i="14"/>
  <c r="AH30" i="14"/>
  <c r="AE30" i="14"/>
  <c r="AB30" i="14"/>
  <c r="Y30" i="14"/>
  <c r="V30" i="14"/>
  <c r="S30" i="14"/>
  <c r="P30" i="14"/>
  <c r="M30" i="14"/>
  <c r="J30" i="14"/>
  <c r="G30" i="14"/>
  <c r="D30" i="14"/>
  <c r="CV29" i="14"/>
  <c r="CP29" i="14"/>
  <c r="CM29" i="14"/>
  <c r="CJ29" i="14"/>
  <c r="CG29" i="14"/>
  <c r="CD29" i="14"/>
  <c r="BX29" i="14"/>
  <c r="BU29" i="14"/>
  <c r="BO29" i="14"/>
  <c r="BL29" i="14"/>
  <c r="BI29" i="14"/>
  <c r="BF29" i="14"/>
  <c r="BC29" i="14"/>
  <c r="AZ29" i="14"/>
  <c r="AW29" i="14"/>
  <c r="AT29" i="14"/>
  <c r="AQ29" i="14"/>
  <c r="AN29" i="14"/>
  <c r="AK29" i="14"/>
  <c r="AH29" i="14"/>
  <c r="AE29" i="14"/>
  <c r="AB29" i="14"/>
  <c r="Y29" i="14"/>
  <c r="V29" i="14"/>
  <c r="S29" i="14"/>
  <c r="P29" i="14"/>
  <c r="M29" i="14"/>
  <c r="G29" i="14"/>
  <c r="D29" i="14"/>
  <c r="CV28" i="14"/>
  <c r="CP28" i="14"/>
  <c r="CM28" i="14"/>
  <c r="CJ28" i="14"/>
  <c r="CG28" i="14"/>
  <c r="CD28" i="14"/>
  <c r="BX28" i="14"/>
  <c r="BU28" i="14"/>
  <c r="BO28" i="14"/>
  <c r="BL28" i="14"/>
  <c r="BI28" i="14"/>
  <c r="BF28" i="14"/>
  <c r="BC28" i="14"/>
  <c r="AZ28" i="14"/>
  <c r="AW28" i="14"/>
  <c r="AT28" i="14"/>
  <c r="AQ28" i="14"/>
  <c r="AN28" i="14"/>
  <c r="AK28" i="14"/>
  <c r="AH28" i="14"/>
  <c r="AE28" i="14"/>
  <c r="AB28" i="14"/>
  <c r="Y28" i="14"/>
  <c r="V28" i="14"/>
  <c r="S28" i="14"/>
  <c r="P28" i="14"/>
  <c r="M28" i="14"/>
  <c r="G28" i="14"/>
  <c r="D28" i="14"/>
  <c r="CV27" i="14"/>
  <c r="CS27" i="14"/>
  <c r="CP27" i="14"/>
  <c r="CM27" i="14"/>
  <c r="CJ27" i="14"/>
  <c r="CG27" i="14"/>
  <c r="CD27" i="14"/>
  <c r="CA27" i="14"/>
  <c r="BX27" i="14"/>
  <c r="BU27" i="14"/>
  <c r="BO27" i="14"/>
  <c r="BL27" i="14"/>
  <c r="BI27" i="14"/>
  <c r="BF27" i="14"/>
  <c r="BC27" i="14"/>
  <c r="AZ27" i="14"/>
  <c r="AW27" i="14"/>
  <c r="AT27" i="14"/>
  <c r="AQ27" i="14"/>
  <c r="AN27" i="14"/>
  <c r="AK27" i="14"/>
  <c r="AH27" i="14"/>
  <c r="AE27" i="14"/>
  <c r="AB27" i="14"/>
  <c r="Y27" i="14"/>
  <c r="V27" i="14"/>
  <c r="S27" i="14"/>
  <c r="P27" i="14"/>
  <c r="M27" i="14"/>
  <c r="J27" i="14"/>
  <c r="G27" i="14"/>
  <c r="D27" i="14"/>
  <c r="CV26" i="14"/>
  <c r="CS26" i="14"/>
  <c r="CP26" i="14"/>
  <c r="CM26" i="14"/>
  <c r="CJ26" i="14"/>
  <c r="CG26" i="14"/>
  <c r="CD26" i="14"/>
  <c r="CA26" i="14"/>
  <c r="BX26" i="14"/>
  <c r="BU26" i="14"/>
  <c r="BR26" i="14"/>
  <c r="BO26" i="14"/>
  <c r="BL26" i="14"/>
  <c r="BI26" i="14"/>
  <c r="BF26" i="14"/>
  <c r="BC26" i="14"/>
  <c r="AZ26" i="14"/>
  <c r="AW26" i="14"/>
  <c r="AT26" i="14"/>
  <c r="AQ26" i="14"/>
  <c r="AN26" i="14"/>
  <c r="AK26" i="14"/>
  <c r="AH26" i="14"/>
  <c r="AE26" i="14"/>
  <c r="AB26" i="14"/>
  <c r="Y26" i="14"/>
  <c r="V26" i="14"/>
  <c r="S26" i="14"/>
  <c r="P26" i="14"/>
  <c r="M26" i="14"/>
  <c r="J26" i="14"/>
  <c r="G26" i="14"/>
  <c r="D26" i="14"/>
  <c r="CV25" i="14"/>
  <c r="CS25" i="14"/>
  <c r="CP25" i="14"/>
  <c r="CM25" i="14"/>
  <c r="CJ25" i="14"/>
  <c r="CG25" i="14"/>
  <c r="CD25" i="14"/>
  <c r="CA25" i="14"/>
  <c r="BX25" i="14"/>
  <c r="BU25" i="14"/>
  <c r="BR25" i="14"/>
  <c r="BO25" i="14"/>
  <c r="BL25" i="14"/>
  <c r="BI25" i="14"/>
  <c r="BF25" i="14"/>
  <c r="BC25" i="14"/>
  <c r="AZ25" i="14"/>
  <c r="AW25" i="14"/>
  <c r="AT25" i="14"/>
  <c r="AQ25" i="14"/>
  <c r="AN25" i="14"/>
  <c r="AK25" i="14"/>
  <c r="AH25" i="14"/>
  <c r="AE25" i="14"/>
  <c r="AB25" i="14"/>
  <c r="Y25" i="14"/>
  <c r="V25" i="14"/>
  <c r="S25" i="14"/>
  <c r="P25" i="14"/>
  <c r="M25" i="14"/>
  <c r="J25" i="14"/>
  <c r="G25" i="14"/>
  <c r="D25" i="14"/>
  <c r="CV24" i="14"/>
  <c r="CS24" i="14"/>
  <c r="CP24" i="14"/>
  <c r="CM24" i="14"/>
  <c r="CJ24" i="14"/>
  <c r="CG24" i="14"/>
  <c r="CD24" i="14"/>
  <c r="CA24" i="14"/>
  <c r="CA36" i="14" s="1"/>
  <c r="BX24" i="14"/>
  <c r="BU24" i="14"/>
  <c r="BR24" i="14"/>
  <c r="BO24" i="14"/>
  <c r="BL24" i="14"/>
  <c r="BI24" i="14"/>
  <c r="BF24" i="14"/>
  <c r="BC24" i="14"/>
  <c r="AZ24" i="14"/>
  <c r="AW24" i="14"/>
  <c r="AT24" i="14"/>
  <c r="AQ24" i="14"/>
  <c r="AN24" i="14"/>
  <c r="AK24" i="14"/>
  <c r="AH24" i="14"/>
  <c r="AE24" i="14"/>
  <c r="AB24" i="14"/>
  <c r="Y24" i="14"/>
  <c r="V24" i="14"/>
  <c r="S24" i="14"/>
  <c r="P24" i="14"/>
  <c r="M24" i="14"/>
  <c r="J24" i="14"/>
  <c r="G24" i="14"/>
  <c r="D24" i="14"/>
  <c r="CV23" i="14"/>
  <c r="CS23" i="14"/>
  <c r="CO36" i="14"/>
  <c r="CM23" i="14"/>
  <c r="CJ23" i="14"/>
  <c r="CG23" i="14"/>
  <c r="CD23" i="14"/>
  <c r="BX23" i="14"/>
  <c r="BU23" i="14"/>
  <c r="BR23" i="14"/>
  <c r="BO23" i="14"/>
  <c r="BL23" i="14"/>
  <c r="BI23" i="14"/>
  <c r="BF23" i="14"/>
  <c r="BC23" i="14"/>
  <c r="AZ23" i="14"/>
  <c r="AW23" i="14"/>
  <c r="AT23" i="14"/>
  <c r="AQ23" i="14"/>
  <c r="AN23" i="14"/>
  <c r="AK23" i="14"/>
  <c r="AH23" i="14"/>
  <c r="AE23" i="14"/>
  <c r="AB23" i="14"/>
  <c r="Y23" i="14"/>
  <c r="V23" i="14"/>
  <c r="S23" i="14"/>
  <c r="P23" i="14"/>
  <c r="M23" i="14"/>
  <c r="G23" i="14"/>
  <c r="D23" i="14"/>
  <c r="CV22" i="14"/>
  <c r="CS36" i="14"/>
  <c r="CP22" i="14"/>
  <c r="CM22" i="14"/>
  <c r="CJ22" i="14"/>
  <c r="CG22" i="14"/>
  <c r="CD22" i="14"/>
  <c r="BX22" i="14"/>
  <c r="BU22" i="14"/>
  <c r="BR36" i="14"/>
  <c r="BO22" i="14"/>
  <c r="BL22" i="14"/>
  <c r="BI22" i="14"/>
  <c r="BF22" i="14"/>
  <c r="BC22" i="14"/>
  <c r="AZ22" i="14"/>
  <c r="AW22" i="14"/>
  <c r="AT22" i="14"/>
  <c r="AT36" i="14" s="1"/>
  <c r="AQ22" i="14"/>
  <c r="AN22" i="14"/>
  <c r="AK22" i="14"/>
  <c r="AH22" i="14"/>
  <c r="AG36" i="14"/>
  <c r="AF36" i="14"/>
  <c r="AE22" i="14"/>
  <c r="AB22" i="14"/>
  <c r="Y22" i="14"/>
  <c r="V22" i="14"/>
  <c r="S22" i="14"/>
  <c r="P22" i="14"/>
  <c r="M22" i="14"/>
  <c r="G22" i="14"/>
  <c r="D22" i="14"/>
  <c r="CU20" i="14"/>
  <c r="CT20" i="14"/>
  <c r="CR20" i="14"/>
  <c r="CR37" i="14" s="1"/>
  <c r="CQ20" i="14"/>
  <c r="CQ37" i="14" s="1"/>
  <c r="CO20" i="14"/>
  <c r="CL20" i="14"/>
  <c r="CK20" i="14"/>
  <c r="CI20" i="14"/>
  <c r="CH20" i="14"/>
  <c r="CC20" i="14"/>
  <c r="CB20" i="14"/>
  <c r="BZ20" i="14"/>
  <c r="BY20" i="14"/>
  <c r="BT20" i="14"/>
  <c r="BS20" i="14"/>
  <c r="BQ20" i="14"/>
  <c r="BP20" i="14"/>
  <c r="BN20" i="14"/>
  <c r="BM20" i="14"/>
  <c r="BM37" i="14" s="1"/>
  <c r="BK20" i="14"/>
  <c r="BJ20" i="14"/>
  <c r="BH20" i="14"/>
  <c r="BG20" i="14"/>
  <c r="BE20" i="14"/>
  <c r="BD20" i="14"/>
  <c r="BB20" i="14"/>
  <c r="BA20" i="14"/>
  <c r="AY20" i="14"/>
  <c r="AX20" i="14"/>
  <c r="AS20" i="14"/>
  <c r="AR20" i="14"/>
  <c r="AM20" i="14"/>
  <c r="AL20" i="14"/>
  <c r="AJ20" i="14"/>
  <c r="AI20" i="14"/>
  <c r="AD20" i="14"/>
  <c r="AC20" i="14"/>
  <c r="AA20" i="14"/>
  <c r="Z20" i="14"/>
  <c r="X20" i="14"/>
  <c r="W20" i="14"/>
  <c r="O20" i="14"/>
  <c r="N20" i="14"/>
  <c r="L20" i="14"/>
  <c r="K20" i="14"/>
  <c r="I20" i="14"/>
  <c r="I37" i="14" s="1"/>
  <c r="H20" i="14"/>
  <c r="E20" i="14"/>
  <c r="C20" i="14"/>
  <c r="B20" i="14"/>
  <c r="CV19" i="14"/>
  <c r="CP19" i="14"/>
  <c r="CM19" i="14"/>
  <c r="CJ19" i="14"/>
  <c r="CG19" i="14"/>
  <c r="CD19" i="14"/>
  <c r="BX19" i="14"/>
  <c r="BV20" i="14"/>
  <c r="BU19" i="14"/>
  <c r="BR19" i="14"/>
  <c r="BO19" i="14"/>
  <c r="BL19" i="14"/>
  <c r="BI19" i="14"/>
  <c r="BF19" i="14"/>
  <c r="BC19" i="14"/>
  <c r="AZ19" i="14"/>
  <c r="AW19" i="14"/>
  <c r="AT19" i="14"/>
  <c r="AP20" i="14"/>
  <c r="AO20" i="14"/>
  <c r="AO37" i="14" s="1"/>
  <c r="AN19" i="14"/>
  <c r="AK19" i="14"/>
  <c r="AH19" i="14"/>
  <c r="AE19" i="14"/>
  <c r="AB19" i="14"/>
  <c r="Y19" i="14"/>
  <c r="V19" i="14"/>
  <c r="T20" i="14"/>
  <c r="R20" i="14"/>
  <c r="Q20" i="14"/>
  <c r="P19" i="14"/>
  <c r="M19" i="14"/>
  <c r="G19" i="14"/>
  <c r="D19" i="14"/>
  <c r="CV18" i="14"/>
  <c r="CP18" i="14"/>
  <c r="CM18" i="14"/>
  <c r="CJ18" i="14"/>
  <c r="CG18" i="14"/>
  <c r="CE20" i="14"/>
  <c r="CD18" i="14"/>
  <c r="BX18" i="14"/>
  <c r="BU18" i="14"/>
  <c r="BO18" i="14"/>
  <c r="BL18" i="14"/>
  <c r="BI18" i="14"/>
  <c r="BF18" i="14"/>
  <c r="BC18" i="14"/>
  <c r="AZ18" i="14"/>
  <c r="AW18" i="14"/>
  <c r="AT18" i="14"/>
  <c r="AQ18" i="14"/>
  <c r="AN18" i="14"/>
  <c r="AK18" i="14"/>
  <c r="AH18" i="14"/>
  <c r="AE18" i="14"/>
  <c r="AB18" i="14"/>
  <c r="Y18" i="14"/>
  <c r="V18" i="14"/>
  <c r="S18" i="14"/>
  <c r="P18" i="14"/>
  <c r="M18" i="14"/>
  <c r="F20" i="14"/>
  <c r="D18" i="14"/>
  <c r="CV17" i="14"/>
  <c r="CS17" i="14"/>
  <c r="CP17" i="14"/>
  <c r="CM17" i="14"/>
  <c r="CJ17" i="14"/>
  <c r="CG17" i="14"/>
  <c r="CD17" i="14"/>
  <c r="CA17" i="14"/>
  <c r="BX17" i="14"/>
  <c r="BU17" i="14"/>
  <c r="BR17" i="14"/>
  <c r="BO17" i="14"/>
  <c r="BL17" i="14"/>
  <c r="BI17" i="14"/>
  <c r="BF17" i="14"/>
  <c r="BC17" i="14"/>
  <c r="AZ17" i="14"/>
  <c r="AW17" i="14"/>
  <c r="AT17" i="14"/>
  <c r="AQ17" i="14"/>
  <c r="AN17" i="14"/>
  <c r="AK17" i="14"/>
  <c r="AH17" i="14"/>
  <c r="AE17" i="14"/>
  <c r="AB17" i="14"/>
  <c r="Y17" i="14"/>
  <c r="V17" i="14"/>
  <c r="S17" i="14"/>
  <c r="P17" i="14"/>
  <c r="M17" i="14"/>
  <c r="J17" i="14"/>
  <c r="G17" i="14"/>
  <c r="D17" i="14"/>
  <c r="CV16" i="14"/>
  <c r="CS16" i="14"/>
  <c r="CP16" i="14"/>
  <c r="CM16" i="14"/>
  <c r="CJ16" i="14"/>
  <c r="CG16" i="14"/>
  <c r="CD16" i="14"/>
  <c r="CA16" i="14"/>
  <c r="BX16" i="14"/>
  <c r="BU16" i="14"/>
  <c r="BO16" i="14"/>
  <c r="BL16" i="14"/>
  <c r="BF16" i="14"/>
  <c r="BC16" i="14"/>
  <c r="AZ16" i="14"/>
  <c r="AW16" i="14"/>
  <c r="AT16" i="14"/>
  <c r="AQ16" i="14"/>
  <c r="AN16" i="14"/>
  <c r="AK16" i="14"/>
  <c r="AH16" i="14"/>
  <c r="AE16" i="14"/>
  <c r="AB16" i="14"/>
  <c r="Y16" i="14"/>
  <c r="V16" i="14"/>
  <c r="S16" i="14"/>
  <c r="P16" i="14"/>
  <c r="M16" i="14"/>
  <c r="J16" i="14"/>
  <c r="G16" i="14"/>
  <c r="D16" i="14"/>
  <c r="CV15" i="14"/>
  <c r="CS15" i="14"/>
  <c r="CP15" i="14"/>
  <c r="CM15" i="14"/>
  <c r="CJ15" i="14"/>
  <c r="CG15" i="14"/>
  <c r="CD15" i="14"/>
  <c r="CA15" i="14"/>
  <c r="BX15" i="14"/>
  <c r="BU15" i="14"/>
  <c r="BR15" i="14"/>
  <c r="BO15" i="14"/>
  <c r="BL15" i="14"/>
  <c r="BF15" i="14"/>
  <c r="BC15" i="14"/>
  <c r="AZ15" i="14"/>
  <c r="AV20" i="14"/>
  <c r="AU20" i="14"/>
  <c r="AT15" i="14"/>
  <c r="AQ15" i="14"/>
  <c r="AN15" i="14"/>
  <c r="AK15" i="14"/>
  <c r="AH15" i="14"/>
  <c r="AE15" i="14"/>
  <c r="AB15" i="14"/>
  <c r="Y15" i="14"/>
  <c r="V15" i="14"/>
  <c r="S15" i="14"/>
  <c r="P15" i="14"/>
  <c r="M15" i="14"/>
  <c r="J15" i="14"/>
  <c r="G15" i="14"/>
  <c r="D15" i="14"/>
  <c r="CV14" i="14"/>
  <c r="CS14" i="14"/>
  <c r="CP14" i="14"/>
  <c r="CM14" i="14"/>
  <c r="CJ14" i="14"/>
  <c r="CG14" i="14"/>
  <c r="CD14" i="14"/>
  <c r="CA14" i="14"/>
  <c r="BX14" i="14"/>
  <c r="BU14" i="14"/>
  <c r="BO14" i="14"/>
  <c r="BL14" i="14"/>
  <c r="BF14" i="14"/>
  <c r="BC14" i="14"/>
  <c r="AZ14" i="14"/>
  <c r="AW14" i="14"/>
  <c r="AT14" i="14"/>
  <c r="AQ14" i="14"/>
  <c r="AN14" i="14"/>
  <c r="AK14" i="14"/>
  <c r="AH14" i="14"/>
  <c r="AE14" i="14"/>
  <c r="AB14" i="14"/>
  <c r="Y14" i="14"/>
  <c r="V14" i="14"/>
  <c r="S14" i="14"/>
  <c r="P14" i="14"/>
  <c r="M14" i="14"/>
  <c r="J14" i="14"/>
  <c r="G14" i="14"/>
  <c r="D14" i="14"/>
  <c r="CV13" i="14"/>
  <c r="CP13" i="14"/>
  <c r="CM13" i="14"/>
  <c r="CJ13" i="14"/>
  <c r="CG13" i="14"/>
  <c r="CD13" i="14"/>
  <c r="BX13" i="14"/>
  <c r="BU13" i="14"/>
  <c r="BO13" i="14"/>
  <c r="BL13" i="14"/>
  <c r="BF13" i="14"/>
  <c r="BC13" i="14"/>
  <c r="AZ13" i="14"/>
  <c r="AW13" i="14"/>
  <c r="AT13" i="14"/>
  <c r="AQ13" i="14"/>
  <c r="AN13" i="14"/>
  <c r="AK13" i="14"/>
  <c r="AH13" i="14"/>
  <c r="AE13" i="14"/>
  <c r="AB13" i="14"/>
  <c r="Y13" i="14"/>
  <c r="V13" i="14"/>
  <c r="S13" i="14"/>
  <c r="P13" i="14"/>
  <c r="M13" i="14"/>
  <c r="G13" i="14"/>
  <c r="D13" i="14"/>
  <c r="CV12" i="14"/>
  <c r="CS12" i="14"/>
  <c r="CP12" i="14"/>
  <c r="CM12" i="14"/>
  <c r="CJ12" i="14"/>
  <c r="CG12" i="14"/>
  <c r="CD12" i="14"/>
  <c r="CA12" i="14"/>
  <c r="BX12" i="14"/>
  <c r="BU12" i="14"/>
  <c r="BO12" i="14"/>
  <c r="BL12" i="14"/>
  <c r="BF12" i="14"/>
  <c r="BC12" i="14"/>
  <c r="AZ12" i="14"/>
  <c r="AW12" i="14"/>
  <c r="AT12" i="14"/>
  <c r="AQ12" i="14"/>
  <c r="AN12" i="14"/>
  <c r="AK12" i="14"/>
  <c r="AH12" i="14"/>
  <c r="AE12" i="14"/>
  <c r="AB12" i="14"/>
  <c r="Y12" i="14"/>
  <c r="V12" i="14"/>
  <c r="S12" i="14"/>
  <c r="P12" i="14"/>
  <c r="M12" i="14"/>
  <c r="J12" i="14"/>
  <c r="G12" i="14"/>
  <c r="D12" i="14"/>
  <c r="CV11" i="14"/>
  <c r="CS11" i="14"/>
  <c r="CP11" i="14"/>
  <c r="CM11" i="14"/>
  <c r="CJ11" i="14"/>
  <c r="CG11" i="14"/>
  <c r="CD11" i="14"/>
  <c r="CA11" i="14"/>
  <c r="BX11" i="14"/>
  <c r="BU11" i="14"/>
  <c r="BO11" i="14"/>
  <c r="BL11" i="14"/>
  <c r="BF11" i="14"/>
  <c r="BC11" i="14"/>
  <c r="AZ11" i="14"/>
  <c r="AW11" i="14"/>
  <c r="AT11" i="14"/>
  <c r="AQ11" i="14"/>
  <c r="AN11" i="14"/>
  <c r="AK11" i="14"/>
  <c r="AH11" i="14"/>
  <c r="AE11" i="14"/>
  <c r="AB11" i="14"/>
  <c r="Y11" i="14"/>
  <c r="V11" i="14"/>
  <c r="S11" i="14"/>
  <c r="P11" i="14"/>
  <c r="M11" i="14"/>
  <c r="J11" i="14"/>
  <c r="G11" i="14"/>
  <c r="D11" i="14"/>
  <c r="CV10" i="14"/>
  <c r="CP10" i="14"/>
  <c r="CM10" i="14"/>
  <c r="CJ10" i="14"/>
  <c r="CG10" i="14"/>
  <c r="CD10" i="14"/>
  <c r="BX10" i="14"/>
  <c r="BU10" i="14"/>
  <c r="BO10" i="14"/>
  <c r="BL10" i="14"/>
  <c r="BF10" i="14"/>
  <c r="BC10" i="14"/>
  <c r="AZ10" i="14"/>
  <c r="AW10" i="14"/>
  <c r="AT10" i="14"/>
  <c r="AQ10" i="14"/>
  <c r="AN10" i="14"/>
  <c r="AK10" i="14"/>
  <c r="AH10" i="14"/>
  <c r="AE10" i="14"/>
  <c r="AB10" i="14"/>
  <c r="Y10" i="14"/>
  <c r="V10" i="14"/>
  <c r="S10" i="14"/>
  <c r="P10" i="14"/>
  <c r="M10" i="14"/>
  <c r="G10" i="14"/>
  <c r="D10" i="14"/>
  <c r="CV9" i="14"/>
  <c r="CS9" i="14"/>
  <c r="CP9" i="14"/>
  <c r="CM9" i="14"/>
  <c r="CJ9" i="14"/>
  <c r="CG9" i="14"/>
  <c r="CD9" i="14"/>
  <c r="CA9" i="14"/>
  <c r="BX9" i="14"/>
  <c r="BU9" i="14"/>
  <c r="BR9" i="14"/>
  <c r="BO9" i="14"/>
  <c r="BL9" i="14"/>
  <c r="BF9" i="14"/>
  <c r="BC9" i="14"/>
  <c r="AZ9" i="14"/>
  <c r="AW9" i="14"/>
  <c r="AT9" i="14"/>
  <c r="AQ9" i="14"/>
  <c r="AN9" i="14"/>
  <c r="AK9" i="14"/>
  <c r="AH9" i="14"/>
  <c r="AE9" i="14"/>
  <c r="AB9" i="14"/>
  <c r="Y9" i="14"/>
  <c r="V9" i="14"/>
  <c r="S9" i="14"/>
  <c r="P9" i="14"/>
  <c r="M9" i="14"/>
  <c r="J9" i="14"/>
  <c r="G9" i="14"/>
  <c r="D9" i="14"/>
  <c r="CV8" i="14"/>
  <c r="CS8" i="14"/>
  <c r="CP8" i="14"/>
  <c r="CM8" i="14"/>
  <c r="CJ8" i="14"/>
  <c r="CG8" i="14"/>
  <c r="CD8" i="14"/>
  <c r="CA8" i="14"/>
  <c r="CA20" i="14" s="1"/>
  <c r="BX8" i="14"/>
  <c r="BU8" i="14"/>
  <c r="BR8" i="14"/>
  <c r="BO8" i="14"/>
  <c r="BL8" i="14"/>
  <c r="BI8" i="14"/>
  <c r="BF8" i="14"/>
  <c r="BC8" i="14"/>
  <c r="AZ8" i="14"/>
  <c r="AW8" i="14"/>
  <c r="AT8" i="14"/>
  <c r="AQ8" i="14"/>
  <c r="AN8" i="14"/>
  <c r="AK8" i="14"/>
  <c r="AH8" i="14"/>
  <c r="AE8" i="14"/>
  <c r="AB8" i="14"/>
  <c r="Y8" i="14"/>
  <c r="V8" i="14"/>
  <c r="S8" i="14"/>
  <c r="P8" i="14"/>
  <c r="M8" i="14"/>
  <c r="J8" i="14"/>
  <c r="G8" i="14"/>
  <c r="D8" i="14"/>
  <c r="CV7" i="14"/>
  <c r="CS7" i="14"/>
  <c r="CP7" i="14"/>
  <c r="CM7" i="14"/>
  <c r="CJ7" i="14"/>
  <c r="CG7" i="14"/>
  <c r="CD7" i="14"/>
  <c r="BX7" i="14"/>
  <c r="BU7" i="14"/>
  <c r="BO7" i="14"/>
  <c r="BL7" i="14"/>
  <c r="BI7" i="14"/>
  <c r="BF7" i="14"/>
  <c r="BC7" i="14"/>
  <c r="AZ7" i="14"/>
  <c r="AW7" i="14"/>
  <c r="AT7" i="14"/>
  <c r="AQ7" i="14"/>
  <c r="AN7" i="14"/>
  <c r="AK7" i="14"/>
  <c r="AH7" i="14"/>
  <c r="AE7" i="14"/>
  <c r="AB7" i="14"/>
  <c r="Y7" i="14"/>
  <c r="V7" i="14"/>
  <c r="S7" i="14"/>
  <c r="P7" i="14"/>
  <c r="M7" i="14"/>
  <c r="G7" i="14"/>
  <c r="D7" i="14"/>
  <c r="CV6" i="14"/>
  <c r="CS20" i="14"/>
  <c r="CP6" i="14"/>
  <c r="CM6" i="14"/>
  <c r="CJ6" i="14"/>
  <c r="CG6" i="14"/>
  <c r="CD6" i="14"/>
  <c r="BX6" i="14"/>
  <c r="BU6" i="14"/>
  <c r="BR20" i="14"/>
  <c r="BO6" i="14"/>
  <c r="BL6" i="14"/>
  <c r="BI6" i="14"/>
  <c r="BF6" i="14"/>
  <c r="BC6" i="14"/>
  <c r="AZ6" i="14"/>
  <c r="AW6" i="14"/>
  <c r="AT6" i="14"/>
  <c r="AQ6" i="14"/>
  <c r="AN6" i="14"/>
  <c r="AK6" i="14"/>
  <c r="AG20" i="14"/>
  <c r="AF20" i="14"/>
  <c r="AE6" i="14"/>
  <c r="AB6" i="14"/>
  <c r="Y6" i="14"/>
  <c r="V6" i="14"/>
  <c r="V20" i="14" s="1"/>
  <c r="S6" i="14"/>
  <c r="P6" i="14"/>
  <c r="M6" i="14"/>
  <c r="J20" i="14"/>
  <c r="G6" i="14"/>
  <c r="D6" i="14"/>
  <c r="CU37" i="14" l="1"/>
  <c r="CV36" i="14"/>
  <c r="Z37" i="14"/>
  <c r="E37" i="14"/>
  <c r="D36" i="14"/>
  <c r="D20" i="14"/>
  <c r="CP36" i="14"/>
  <c r="CG20" i="14"/>
  <c r="CC37" i="14"/>
  <c r="CB37" i="14"/>
  <c r="CD20" i="14"/>
  <c r="BZ37" i="14"/>
  <c r="BY37" i="14"/>
  <c r="AL37" i="14"/>
  <c r="O37" i="14"/>
  <c r="P20" i="14"/>
  <c r="M36" i="14"/>
  <c r="M20" i="14"/>
  <c r="AQ36" i="14"/>
  <c r="BC20" i="14"/>
  <c r="BE37" i="14"/>
  <c r="BF36" i="14"/>
  <c r="BF20" i="14"/>
  <c r="CI37" i="14"/>
  <c r="P36" i="14"/>
  <c r="S36" i="14"/>
  <c r="V36" i="14"/>
  <c r="V37" i="14" s="1"/>
  <c r="AH36" i="14"/>
  <c r="AN36" i="14"/>
  <c r="BC36" i="14"/>
  <c r="BC37" i="14" s="1"/>
  <c r="BI36" i="14"/>
  <c r="BO36" i="14"/>
  <c r="BU36" i="14"/>
  <c r="BX36" i="14"/>
  <c r="CD36" i="14"/>
  <c r="CE37" i="14"/>
  <c r="CJ36" i="14"/>
  <c r="CK37" i="14"/>
  <c r="CM36" i="14"/>
  <c r="CT37" i="14"/>
  <c r="CV20" i="14"/>
  <c r="CP20" i="14"/>
  <c r="CO37" i="14"/>
  <c r="CL37" i="14"/>
  <c r="CM20" i="14"/>
  <c r="CH37" i="14"/>
  <c r="CJ20" i="14"/>
  <c r="CJ37" i="14" s="1"/>
  <c r="BX20" i="14"/>
  <c r="BU20" i="14"/>
  <c r="BS37" i="14"/>
  <c r="BT37" i="14"/>
  <c r="BO20" i="14"/>
  <c r="BN37" i="14"/>
  <c r="BI20" i="14"/>
  <c r="BG37" i="14"/>
  <c r="BH37" i="14"/>
  <c r="BD37" i="14"/>
  <c r="BA37" i="14"/>
  <c r="BB37" i="14"/>
  <c r="AT20" i="14"/>
  <c r="AT37" i="14" s="1"/>
  <c r="AR37" i="14"/>
  <c r="AS37" i="14"/>
  <c r="AN20" i="14"/>
  <c r="AM37" i="14"/>
  <c r="AF37" i="14"/>
  <c r="AB20" i="14"/>
  <c r="AA37" i="14"/>
  <c r="T37" i="14"/>
  <c r="N37" i="14"/>
  <c r="K37" i="14"/>
  <c r="L37" i="14"/>
  <c r="B37" i="14"/>
  <c r="C37" i="14"/>
  <c r="AY37" i="14"/>
  <c r="AZ36" i="14"/>
  <c r="AZ20" i="14"/>
  <c r="AX37" i="14"/>
  <c r="J37" i="14"/>
  <c r="BK37" i="14"/>
  <c r="BL36" i="14"/>
  <c r="BL20" i="14"/>
  <c r="BJ37" i="14"/>
  <c r="X37" i="14"/>
  <c r="Y20" i="14"/>
  <c r="Y36" i="14"/>
  <c r="W37" i="14"/>
  <c r="AD37" i="14"/>
  <c r="AE36" i="14"/>
  <c r="AE20" i="14"/>
  <c r="AC37" i="14"/>
  <c r="AI37" i="14"/>
  <c r="AK36" i="14"/>
  <c r="AK20" i="14"/>
  <c r="AJ37" i="14"/>
  <c r="AI19" i="16"/>
  <c r="AI11" i="16"/>
  <c r="AI15" i="16"/>
  <c r="AV37" i="14"/>
  <c r="BR37" i="14"/>
  <c r="CS37" i="14"/>
  <c r="BV37" i="14"/>
  <c r="AW20" i="14"/>
  <c r="AG37" i="14"/>
  <c r="CA37" i="14"/>
  <c r="Q37" i="14"/>
  <c r="CG36" i="14"/>
  <c r="AU37" i="14"/>
  <c r="F37" i="14"/>
  <c r="AP37" i="14"/>
  <c r="AQ19" i="14"/>
  <c r="AQ20" i="14" s="1"/>
  <c r="BW20" i="14"/>
  <c r="BW37" i="14" s="1"/>
  <c r="AH6" i="14"/>
  <c r="AH20" i="14" s="1"/>
  <c r="CF20" i="14"/>
  <c r="CN20" i="14"/>
  <c r="CN37" i="14" s="1"/>
  <c r="AB32" i="14"/>
  <c r="AB36" i="14" s="1"/>
  <c r="U20" i="14"/>
  <c r="U37" i="14" s="1"/>
  <c r="R36" i="14"/>
  <c r="R37" i="14" s="1"/>
  <c r="G18" i="14"/>
  <c r="G20" i="14" s="1"/>
  <c r="AW15" i="14"/>
  <c r="S19" i="14"/>
  <c r="S20" i="14" s="1"/>
  <c r="AW30" i="14"/>
  <c r="AW36" i="14" s="1"/>
  <c r="CF36" i="14"/>
  <c r="G34" i="14"/>
  <c r="G36" i="14" s="1"/>
  <c r="CV37" i="14" l="1"/>
  <c r="BX37" i="14"/>
  <c r="BI37" i="14"/>
  <c r="AB37" i="14"/>
  <c r="S37" i="14"/>
  <c r="D37" i="14"/>
  <c r="CP37" i="14"/>
  <c r="CM37" i="14"/>
  <c r="CG37" i="14"/>
  <c r="CD37" i="14"/>
  <c r="BU37" i="14"/>
  <c r="AN37" i="14"/>
  <c r="AH37" i="14"/>
  <c r="P37" i="14"/>
  <c r="M37" i="14"/>
  <c r="AQ37" i="14"/>
  <c r="BF37" i="14"/>
  <c r="BO37" i="14"/>
  <c r="AW37" i="14"/>
  <c r="G37" i="14"/>
  <c r="AZ37" i="14"/>
  <c r="BL37" i="14"/>
  <c r="Y37" i="14"/>
  <c r="AE37" i="14"/>
  <c r="AK37" i="14"/>
  <c r="CF37" i="14"/>
  <c r="EF15" i="2" l="1"/>
  <c r="EE15" i="2"/>
  <c r="ED15" i="2"/>
  <c r="EC15" i="2"/>
  <c r="EB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EZ15" i="2"/>
  <c r="EU15" i="2"/>
  <c r="ET15" i="2"/>
  <c r="ES15" i="2"/>
  <c r="ER15" i="2"/>
  <c r="EQ15" i="2"/>
  <c r="EP15" i="2"/>
  <c r="EO15" i="2"/>
  <c r="EN15" i="2"/>
  <c r="EM15" i="2"/>
  <c r="EL15" i="2"/>
  <c r="EK15" i="2"/>
  <c r="EJ15" i="2"/>
  <c r="EI15" i="2"/>
  <c r="EH15" i="2"/>
  <c r="EG15" i="2"/>
  <c r="EA15" i="2"/>
  <c r="DZ15" i="2"/>
  <c r="DY15" i="2"/>
  <c r="DX15" i="2"/>
  <c r="DW15" i="2"/>
  <c r="DV15" i="2"/>
  <c r="DU15" i="2"/>
  <c r="DT15" i="2"/>
  <c r="DS15" i="2"/>
  <c r="DR15" i="2"/>
  <c r="DQ15" i="2"/>
  <c r="DP15" i="2"/>
  <c r="DO15" i="2"/>
  <c r="DN15" i="2"/>
  <c r="DM15" i="2"/>
  <c r="DK15" i="2"/>
  <c r="DJ15" i="2"/>
  <c r="DI15" i="2"/>
  <c r="DH15" i="2"/>
  <c r="DG15" i="2"/>
  <c r="DF15" i="2"/>
  <c r="DE15" i="2"/>
  <c r="DD15" i="2"/>
  <c r="DC15" i="2"/>
  <c r="DB15" i="2"/>
  <c r="DA15" i="2"/>
  <c r="CZ15" i="2"/>
  <c r="CY15" i="2"/>
  <c r="CX15" i="2"/>
  <c r="CW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AY15" i="2"/>
  <c r="AX15" i="2"/>
  <c r="AW15" i="2"/>
  <c r="AV15" i="2"/>
  <c r="AU15" i="2"/>
  <c r="AO15" i="2"/>
  <c r="AN15" i="2"/>
  <c r="AM15" i="2"/>
  <c r="AL15" i="2"/>
  <c r="AK15" i="2"/>
  <c r="AJ15" i="2"/>
  <c r="AI15" i="2"/>
  <c r="AH15" i="2"/>
  <c r="AG15" i="2"/>
  <c r="AF15" i="2"/>
  <c r="AD15" i="2"/>
  <c r="AC15" i="2"/>
  <c r="AB15" i="2"/>
  <c r="AA15" i="2"/>
  <c r="Y15" i="2"/>
  <c r="X15" i="2"/>
  <c r="W15" i="2"/>
  <c r="V15" i="2"/>
  <c r="BJ11" i="6" l="1"/>
  <c r="AI23" i="7" l="1"/>
  <c r="AI19" i="7"/>
  <c r="AI18" i="7"/>
  <c r="AI17" i="7"/>
  <c r="AI13" i="7"/>
  <c r="AI12" i="7"/>
  <c r="AI11" i="7"/>
  <c r="AI10" i="7"/>
  <c r="AI9" i="7"/>
  <c r="AI7" i="7"/>
  <c r="AI6" i="7"/>
  <c r="AI5" i="7"/>
  <c r="AH22" i="7"/>
  <c r="AH24" i="7" s="1"/>
  <c r="AG22" i="7"/>
  <c r="AG24" i="7" s="1"/>
  <c r="AF22" i="7"/>
  <c r="AF24" i="7" s="1"/>
  <c r="AE22" i="7"/>
  <c r="AE24" i="7" s="1"/>
  <c r="AD22" i="7"/>
  <c r="AD24" i="7" s="1"/>
  <c r="AC22" i="7"/>
  <c r="AC24" i="7" s="1"/>
  <c r="AB22" i="7"/>
  <c r="AB24" i="7" s="1"/>
  <c r="AA22" i="7"/>
  <c r="AA24" i="7" s="1"/>
  <c r="Z22" i="7"/>
  <c r="Z24" i="7" s="1"/>
  <c r="Y22" i="7"/>
  <c r="Y24" i="7" s="1"/>
  <c r="X22" i="7"/>
  <c r="X24" i="7" s="1"/>
  <c r="W22" i="7"/>
  <c r="W24" i="7" s="1"/>
  <c r="T22" i="7"/>
  <c r="T24" i="7" s="1"/>
  <c r="S22" i="7"/>
  <c r="S24" i="7" s="1"/>
  <c r="R22" i="7"/>
  <c r="R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E22" i="7"/>
  <c r="E24" i="7" s="1"/>
  <c r="D22" i="7"/>
  <c r="D24" i="7" s="1"/>
  <c r="C22" i="7"/>
  <c r="C24" i="7" s="1"/>
  <c r="AH20" i="7"/>
  <c r="AG20" i="7"/>
  <c r="AF20" i="7"/>
  <c r="AE20" i="7"/>
  <c r="AD20" i="7"/>
  <c r="AC20" i="7"/>
  <c r="AB20" i="7"/>
  <c r="AA20" i="7"/>
  <c r="Z20" i="7"/>
  <c r="Y20" i="7"/>
  <c r="X20" i="7"/>
  <c r="W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H14" i="7"/>
  <c r="AG14" i="7"/>
  <c r="AF14" i="7"/>
  <c r="AE14" i="7"/>
  <c r="AD14" i="7"/>
  <c r="AC14" i="7"/>
  <c r="AB14" i="7"/>
  <c r="AA14" i="7"/>
  <c r="Z14" i="7"/>
  <c r="Y14" i="7"/>
  <c r="X14" i="7"/>
  <c r="W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22" i="7"/>
  <c r="B24" i="7" s="1"/>
  <c r="B20" i="7"/>
  <c r="B14" i="7"/>
  <c r="AI28" i="8"/>
  <c r="AI27" i="8"/>
  <c r="AI26" i="8"/>
  <c r="AI23" i="8"/>
  <c r="AI22" i="8"/>
  <c r="AI20" i="8"/>
  <c r="AI19" i="8"/>
  <c r="AI18" i="8"/>
  <c r="AI17" i="8"/>
  <c r="AI16" i="8"/>
  <c r="AI15" i="8"/>
  <c r="AI13" i="8"/>
  <c r="AI12" i="8"/>
  <c r="AI8" i="8"/>
  <c r="AI7" i="8"/>
  <c r="AI6" i="8"/>
  <c r="AI5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H21" i="8"/>
  <c r="AG21" i="8"/>
  <c r="AG25" i="8" s="1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T25" i="8" s="1"/>
  <c r="S21" i="8"/>
  <c r="S25" i="8" s="1"/>
  <c r="R21" i="8"/>
  <c r="Q21" i="8"/>
  <c r="Q25" i="8" s="1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C14" i="8"/>
  <c r="AA14" i="8"/>
  <c r="Z14" i="8"/>
  <c r="Y14" i="8"/>
  <c r="V14" i="8"/>
  <c r="U14" i="8"/>
  <c r="T14" i="8"/>
  <c r="S14" i="8"/>
  <c r="R14" i="8"/>
  <c r="Q14" i="8"/>
  <c r="P14" i="8"/>
  <c r="O14" i="8"/>
  <c r="N14" i="8"/>
  <c r="K14" i="8"/>
  <c r="H14" i="8"/>
  <c r="G14" i="8"/>
  <c r="E14" i="8"/>
  <c r="C14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24" i="8"/>
  <c r="B21" i="8"/>
  <c r="B14" i="8"/>
  <c r="B9" i="8"/>
  <c r="AH73" i="9"/>
  <c r="AG73" i="9"/>
  <c r="AF73" i="9"/>
  <c r="AE73" i="9"/>
  <c r="AD73" i="9"/>
  <c r="AC73" i="9"/>
  <c r="AB73" i="9"/>
  <c r="AA73" i="9"/>
  <c r="Z73" i="9"/>
  <c r="Y73" i="9"/>
  <c r="X73" i="9"/>
  <c r="W73" i="9"/>
  <c r="V73" i="9"/>
  <c r="U73" i="9"/>
  <c r="T73" i="9"/>
  <c r="S73" i="9"/>
  <c r="R73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D73" i="9"/>
  <c r="C73" i="9"/>
  <c r="AH72" i="9"/>
  <c r="AG72" i="9"/>
  <c r="AF72" i="9"/>
  <c r="AE72" i="9"/>
  <c r="AD72" i="9"/>
  <c r="AC72" i="9"/>
  <c r="AB72" i="9"/>
  <c r="AA72" i="9"/>
  <c r="Z72" i="9"/>
  <c r="Y72" i="9"/>
  <c r="X72" i="9"/>
  <c r="W72" i="9"/>
  <c r="V72" i="9"/>
  <c r="U72" i="9"/>
  <c r="T72" i="9"/>
  <c r="S72" i="9"/>
  <c r="R72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C72" i="9"/>
  <c r="AH69" i="9"/>
  <c r="AG69" i="9"/>
  <c r="AF69" i="9"/>
  <c r="AE69" i="9"/>
  <c r="AD69" i="9"/>
  <c r="AC69" i="9"/>
  <c r="AB69" i="9"/>
  <c r="AA69" i="9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B73" i="9"/>
  <c r="B72" i="9"/>
  <c r="B69" i="9"/>
  <c r="AI81" i="9"/>
  <c r="AI80" i="9"/>
  <c r="AI77" i="9"/>
  <c r="AI65" i="9"/>
  <c r="AI64" i="9"/>
  <c r="AI61" i="9"/>
  <c r="AI57" i="9"/>
  <c r="AI56" i="9"/>
  <c r="AI53" i="9"/>
  <c r="AI49" i="9"/>
  <c r="AI48" i="9"/>
  <c r="AI45" i="9"/>
  <c r="AI41" i="9"/>
  <c r="AI40" i="9"/>
  <c r="AI37" i="9"/>
  <c r="AI33" i="9"/>
  <c r="AI32" i="9"/>
  <c r="AI29" i="9"/>
  <c r="AI25" i="9"/>
  <c r="AI24" i="9"/>
  <c r="AI21" i="9"/>
  <c r="AI17" i="9"/>
  <c r="AI16" i="9"/>
  <c r="AI13" i="9"/>
  <c r="AI9" i="9"/>
  <c r="AI8" i="9"/>
  <c r="AI5" i="9"/>
  <c r="AH91" i="10"/>
  <c r="AG91" i="10"/>
  <c r="AF91" i="10"/>
  <c r="AE91" i="10"/>
  <c r="AD91" i="10"/>
  <c r="AC91" i="10"/>
  <c r="AB91" i="10"/>
  <c r="AA91" i="10"/>
  <c r="Z91" i="10"/>
  <c r="Y91" i="10"/>
  <c r="X91" i="10"/>
  <c r="W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AH85" i="10"/>
  <c r="AG85" i="10"/>
  <c r="AF85" i="10"/>
  <c r="AE85" i="10"/>
  <c r="AD85" i="10"/>
  <c r="AC85" i="10"/>
  <c r="AB85" i="10"/>
  <c r="AA85" i="10"/>
  <c r="Z85" i="10"/>
  <c r="Y85" i="10"/>
  <c r="X85" i="10"/>
  <c r="W85" i="10"/>
  <c r="V85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C85" i="10"/>
  <c r="B91" i="10"/>
  <c r="B85" i="10"/>
  <c r="AI95" i="10"/>
  <c r="AI81" i="10"/>
  <c r="AI75" i="10"/>
  <c r="AI71" i="10"/>
  <c r="AI65" i="10"/>
  <c r="AI61" i="10"/>
  <c r="AI55" i="10"/>
  <c r="AI51" i="10"/>
  <c r="AI45" i="10"/>
  <c r="AI41" i="10"/>
  <c r="AI35" i="10"/>
  <c r="AI31" i="10"/>
  <c r="AI25" i="10"/>
  <c r="AI21" i="10"/>
  <c r="AI15" i="10"/>
  <c r="AI11" i="10"/>
  <c r="AI5" i="10"/>
  <c r="AH64" i="11"/>
  <c r="AG64" i="11"/>
  <c r="AF64" i="11"/>
  <c r="AE64" i="11"/>
  <c r="AD64" i="11"/>
  <c r="AC64" i="11"/>
  <c r="AB64" i="11"/>
  <c r="AA64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B64" i="11"/>
  <c r="B61" i="11"/>
  <c r="AI71" i="11"/>
  <c r="AI68" i="11"/>
  <c r="AI57" i="11"/>
  <c r="AI54" i="11"/>
  <c r="AI50" i="11"/>
  <c r="AI47" i="11"/>
  <c r="AI43" i="11"/>
  <c r="AI40" i="11"/>
  <c r="AI36" i="11"/>
  <c r="AI33" i="11"/>
  <c r="AI29" i="11"/>
  <c r="AI26" i="11"/>
  <c r="AI22" i="11"/>
  <c r="AI19" i="11"/>
  <c r="AI15" i="11"/>
  <c r="AI12" i="11"/>
  <c r="AI8" i="11"/>
  <c r="AI5" i="11"/>
  <c r="AI17" i="12"/>
  <c r="AI16" i="12"/>
  <c r="AI15" i="12"/>
  <c r="AI13" i="12"/>
  <c r="AI12" i="12"/>
  <c r="AI11" i="12"/>
  <c r="AI10" i="12"/>
  <c r="AI9" i="12"/>
  <c r="AI8" i="12"/>
  <c r="AI7" i="12"/>
  <c r="AI6" i="12"/>
  <c r="AI5" i="12"/>
  <c r="AI4" i="12"/>
  <c r="AH14" i="12"/>
  <c r="AG14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CR14" i="3"/>
  <c r="CO14" i="3"/>
  <c r="CL14" i="3"/>
  <c r="CI14" i="3"/>
  <c r="CF14" i="3"/>
  <c r="CC14" i="3"/>
  <c r="BZ14" i="3"/>
  <c r="BW14" i="3"/>
  <c r="BT14" i="3"/>
  <c r="BQ14" i="3"/>
  <c r="BN14" i="3"/>
  <c r="BH14" i="3"/>
  <c r="BE14" i="3"/>
  <c r="BB14" i="3"/>
  <c r="AY14" i="3"/>
  <c r="AV14" i="3"/>
  <c r="AS14" i="3"/>
  <c r="AP14" i="3"/>
  <c r="AM14" i="3"/>
  <c r="AJ14" i="3"/>
  <c r="AG14" i="3"/>
  <c r="AD14" i="3"/>
  <c r="AA14" i="3"/>
  <c r="X14" i="3"/>
  <c r="U14" i="3"/>
  <c r="R14" i="3"/>
  <c r="O14" i="3"/>
  <c r="L14" i="3"/>
  <c r="I14" i="3"/>
  <c r="F14" i="3"/>
  <c r="C14" i="3"/>
  <c r="CR13" i="3"/>
  <c r="CO13" i="3"/>
  <c r="CL13" i="3"/>
  <c r="CI13" i="3"/>
  <c r="CF13" i="3"/>
  <c r="CC13" i="3"/>
  <c r="BZ13" i="3"/>
  <c r="BW13" i="3"/>
  <c r="BT13" i="3"/>
  <c r="BQ13" i="3"/>
  <c r="BN13" i="3"/>
  <c r="BH13" i="3"/>
  <c r="BE13" i="3"/>
  <c r="BB13" i="3"/>
  <c r="AY13" i="3"/>
  <c r="AV13" i="3"/>
  <c r="AS13" i="3"/>
  <c r="AP13" i="3"/>
  <c r="AM13" i="3"/>
  <c r="AJ13" i="3"/>
  <c r="AG13" i="3"/>
  <c r="AD13" i="3"/>
  <c r="AA13" i="3"/>
  <c r="X13" i="3"/>
  <c r="U13" i="3"/>
  <c r="R13" i="3"/>
  <c r="O13" i="3"/>
  <c r="L13" i="3"/>
  <c r="I13" i="3"/>
  <c r="F13" i="3"/>
  <c r="C13" i="3"/>
  <c r="CR12" i="3"/>
  <c r="CO12" i="3"/>
  <c r="CL12" i="3"/>
  <c r="CI12" i="3"/>
  <c r="CF12" i="3"/>
  <c r="CC12" i="3"/>
  <c r="BZ12" i="3"/>
  <c r="BW12" i="3"/>
  <c r="BT12" i="3"/>
  <c r="BQ12" i="3"/>
  <c r="BN12" i="3"/>
  <c r="BH12" i="3"/>
  <c r="BE12" i="3"/>
  <c r="BB12" i="3"/>
  <c r="AY12" i="3"/>
  <c r="AV12" i="3"/>
  <c r="AS12" i="3"/>
  <c r="AP12" i="3"/>
  <c r="AM12" i="3"/>
  <c r="AJ12" i="3"/>
  <c r="AG12" i="3"/>
  <c r="AD12" i="3"/>
  <c r="AA12" i="3"/>
  <c r="X12" i="3"/>
  <c r="U12" i="3"/>
  <c r="R12" i="3"/>
  <c r="O12" i="3"/>
  <c r="L12" i="3"/>
  <c r="I12" i="3"/>
  <c r="F12" i="3"/>
  <c r="C12" i="3"/>
  <c r="CR11" i="3"/>
  <c r="CO11" i="3"/>
  <c r="CL11" i="3"/>
  <c r="CI11" i="3"/>
  <c r="CF11" i="3"/>
  <c r="CC11" i="3"/>
  <c r="BZ11" i="3"/>
  <c r="BW11" i="3"/>
  <c r="BT11" i="3"/>
  <c r="BQ11" i="3"/>
  <c r="BN11" i="3"/>
  <c r="BK11" i="3"/>
  <c r="BH11" i="3"/>
  <c r="BE11" i="3"/>
  <c r="BB11" i="3"/>
  <c r="AY11" i="3"/>
  <c r="AV11" i="3"/>
  <c r="AS11" i="3"/>
  <c r="AP11" i="3"/>
  <c r="AM11" i="3"/>
  <c r="AJ11" i="3"/>
  <c r="AG11" i="3"/>
  <c r="AD11" i="3"/>
  <c r="AA11" i="3"/>
  <c r="X11" i="3"/>
  <c r="U11" i="3"/>
  <c r="R11" i="3"/>
  <c r="O11" i="3"/>
  <c r="L11" i="3"/>
  <c r="I11" i="3"/>
  <c r="F11" i="3"/>
  <c r="C11" i="3"/>
  <c r="CR10" i="3"/>
  <c r="CO10" i="3"/>
  <c r="CL10" i="3"/>
  <c r="CI10" i="3"/>
  <c r="CF10" i="3"/>
  <c r="CC10" i="3"/>
  <c r="BZ10" i="3"/>
  <c r="BW10" i="3"/>
  <c r="BT10" i="3"/>
  <c r="BQ10" i="3"/>
  <c r="BN10" i="3"/>
  <c r="BH10" i="3"/>
  <c r="BE10" i="3"/>
  <c r="BB10" i="3"/>
  <c r="AY10" i="3"/>
  <c r="AV10" i="3"/>
  <c r="AS10" i="3"/>
  <c r="AP10" i="3"/>
  <c r="AM10" i="3"/>
  <c r="AJ10" i="3"/>
  <c r="AG10" i="3"/>
  <c r="AD10" i="3"/>
  <c r="AA10" i="3"/>
  <c r="X10" i="3"/>
  <c r="U10" i="3"/>
  <c r="R10" i="3"/>
  <c r="O10" i="3"/>
  <c r="L10" i="3"/>
  <c r="I10" i="3"/>
  <c r="F10" i="3"/>
  <c r="C10" i="3"/>
  <c r="CR9" i="3"/>
  <c r="CO9" i="3"/>
  <c r="CL9" i="3"/>
  <c r="CI9" i="3"/>
  <c r="CF9" i="3"/>
  <c r="CC9" i="3"/>
  <c r="BZ9" i="3"/>
  <c r="BW9" i="3"/>
  <c r="BT9" i="3"/>
  <c r="BQ9" i="3"/>
  <c r="BN9" i="3"/>
  <c r="BK9" i="3"/>
  <c r="BH9" i="3"/>
  <c r="BE9" i="3"/>
  <c r="BB9" i="3"/>
  <c r="AY9" i="3"/>
  <c r="AV9" i="3"/>
  <c r="AS9" i="3"/>
  <c r="AP9" i="3"/>
  <c r="AM9" i="3"/>
  <c r="AJ9" i="3"/>
  <c r="AG9" i="3"/>
  <c r="AD9" i="3"/>
  <c r="AA9" i="3"/>
  <c r="X9" i="3"/>
  <c r="U9" i="3"/>
  <c r="R9" i="3"/>
  <c r="O9" i="3"/>
  <c r="L9" i="3"/>
  <c r="I9" i="3"/>
  <c r="F9" i="3"/>
  <c r="C9" i="3"/>
  <c r="CR8" i="3"/>
  <c r="CO8" i="3"/>
  <c r="CL8" i="3"/>
  <c r="CI8" i="3"/>
  <c r="CF8" i="3"/>
  <c r="CC8" i="3"/>
  <c r="BZ8" i="3"/>
  <c r="BW8" i="3"/>
  <c r="BT8" i="3"/>
  <c r="BQ8" i="3"/>
  <c r="BN8" i="3"/>
  <c r="BH8" i="3"/>
  <c r="BE8" i="3"/>
  <c r="BB8" i="3"/>
  <c r="AY8" i="3"/>
  <c r="AV8" i="3"/>
  <c r="AS8" i="3"/>
  <c r="AP8" i="3"/>
  <c r="AM8" i="3"/>
  <c r="AJ8" i="3"/>
  <c r="AG8" i="3"/>
  <c r="AD8" i="3"/>
  <c r="AA8" i="3"/>
  <c r="X8" i="3"/>
  <c r="U8" i="3"/>
  <c r="R8" i="3"/>
  <c r="O8" i="3"/>
  <c r="L8" i="3"/>
  <c r="I8" i="3"/>
  <c r="F8" i="3"/>
  <c r="C8" i="3"/>
  <c r="CR7" i="3"/>
  <c r="CO7" i="3"/>
  <c r="CL7" i="3"/>
  <c r="CI7" i="3"/>
  <c r="CF7" i="3"/>
  <c r="CC7" i="3"/>
  <c r="BZ7" i="3"/>
  <c r="BW7" i="3"/>
  <c r="BT7" i="3"/>
  <c r="BQ7" i="3"/>
  <c r="BN7" i="3"/>
  <c r="BH7" i="3"/>
  <c r="BE7" i="3"/>
  <c r="BB7" i="3"/>
  <c r="AY7" i="3"/>
  <c r="AV7" i="3"/>
  <c r="AS7" i="3"/>
  <c r="AP7" i="3"/>
  <c r="AM7" i="3"/>
  <c r="AJ7" i="3"/>
  <c r="AG7" i="3"/>
  <c r="AD7" i="3"/>
  <c r="AA7" i="3"/>
  <c r="X7" i="3"/>
  <c r="U7" i="3"/>
  <c r="R7" i="3"/>
  <c r="O7" i="3"/>
  <c r="L7" i="3"/>
  <c r="I7" i="3"/>
  <c r="F7" i="3"/>
  <c r="C7" i="3"/>
  <c r="CR6" i="3"/>
  <c r="CO6" i="3"/>
  <c r="CL6" i="3"/>
  <c r="CI6" i="3"/>
  <c r="CF6" i="3"/>
  <c r="CC6" i="3"/>
  <c r="BZ6" i="3"/>
  <c r="BW6" i="3"/>
  <c r="BT6" i="3"/>
  <c r="BQ6" i="3"/>
  <c r="BN6" i="3"/>
  <c r="BH6" i="3"/>
  <c r="BE6" i="3"/>
  <c r="BB6" i="3"/>
  <c r="AY6" i="3"/>
  <c r="AV6" i="3"/>
  <c r="AS6" i="3"/>
  <c r="AP6" i="3"/>
  <c r="AM6" i="3"/>
  <c r="AJ6" i="3"/>
  <c r="AG6" i="3"/>
  <c r="AD6" i="3"/>
  <c r="AA6" i="3"/>
  <c r="X6" i="3"/>
  <c r="U6" i="3"/>
  <c r="R6" i="3"/>
  <c r="O6" i="3"/>
  <c r="L6" i="3"/>
  <c r="I6" i="3"/>
  <c r="F6" i="3"/>
  <c r="C6" i="3"/>
  <c r="CR5" i="3"/>
  <c r="CO5" i="3"/>
  <c r="CL5" i="3"/>
  <c r="CI5" i="3"/>
  <c r="CF5" i="3"/>
  <c r="CC5" i="3"/>
  <c r="BZ5" i="3"/>
  <c r="BW5" i="3"/>
  <c r="BT5" i="3"/>
  <c r="BQ5" i="3"/>
  <c r="BN5" i="3"/>
  <c r="BH5" i="3"/>
  <c r="BE5" i="3"/>
  <c r="BB5" i="3"/>
  <c r="AY5" i="3"/>
  <c r="AV5" i="3"/>
  <c r="AS5" i="3"/>
  <c r="AP5" i="3"/>
  <c r="AM5" i="3"/>
  <c r="AJ5" i="3"/>
  <c r="AG5" i="3"/>
  <c r="AD5" i="3"/>
  <c r="AA5" i="3"/>
  <c r="X5" i="3"/>
  <c r="U5" i="3"/>
  <c r="R5" i="3"/>
  <c r="O5" i="3"/>
  <c r="L5" i="3"/>
  <c r="I5" i="3"/>
  <c r="F5" i="3"/>
  <c r="C5" i="3"/>
  <c r="C25" i="8" l="1"/>
  <c r="K25" i="8"/>
  <c r="G25" i="8"/>
  <c r="O25" i="8"/>
  <c r="B25" i="8"/>
  <c r="D25" i="8"/>
  <c r="V25" i="8"/>
  <c r="I25" i="8"/>
  <c r="AH25" i="8"/>
  <c r="X25" i="8"/>
  <c r="M25" i="8"/>
  <c r="AI69" i="9"/>
  <c r="AI72" i="9"/>
  <c r="AI14" i="12"/>
  <c r="AE25" i="8"/>
  <c r="AA25" i="8"/>
  <c r="Z25" i="8"/>
  <c r="W25" i="8"/>
  <c r="U25" i="8"/>
  <c r="H25" i="8"/>
  <c r="E25" i="8"/>
  <c r="AF25" i="8"/>
  <c r="AD25" i="8"/>
  <c r="AC25" i="8"/>
  <c r="AB25" i="8"/>
  <c r="Y25" i="8"/>
  <c r="R25" i="8"/>
  <c r="P25" i="8"/>
  <c r="N25" i="8"/>
  <c r="L25" i="8"/>
  <c r="J25" i="8"/>
  <c r="AI14" i="8"/>
  <c r="AI24" i="8"/>
  <c r="F25" i="8"/>
  <c r="AI21" i="8"/>
  <c r="AI73" i="9"/>
  <c r="AI85" i="10"/>
  <c r="AI61" i="11"/>
  <c r="AI64" i="11"/>
  <c r="AI25" i="8" l="1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O11" i="6"/>
  <c r="BN11" i="6"/>
  <c r="BM11" i="6"/>
  <c r="BL11" i="6"/>
  <c r="BK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4" i="6"/>
  <c r="B11" i="6"/>
  <c r="AI15" i="18"/>
  <c r="AI13" i="18"/>
  <c r="AI12" i="18"/>
  <c r="AI11" i="18"/>
  <c r="AI10" i="18"/>
  <c r="AI9" i="18"/>
  <c r="AI8" i="18"/>
  <c r="AI7" i="18"/>
  <c r="AI6" i="18"/>
  <c r="AI5" i="18"/>
  <c r="AI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I16" i="17"/>
  <c r="AI14" i="17"/>
  <c r="AI13" i="17"/>
  <c r="AI12" i="17"/>
  <c r="AI11" i="17"/>
  <c r="AI10" i="17"/>
  <c r="AI9" i="17"/>
  <c r="AI8" i="17"/>
  <c r="AI7" i="17"/>
  <c r="AI6" i="17"/>
  <c r="AI5" i="17"/>
  <c r="AI4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I31" i="15"/>
  <c r="AI30" i="15"/>
  <c r="AI27" i="15"/>
  <c r="AI26" i="15"/>
  <c r="AI25" i="15"/>
  <c r="AI24" i="15"/>
  <c r="AI23" i="15"/>
  <c r="AI22" i="15"/>
  <c r="AI21" i="15"/>
  <c r="AI18" i="15"/>
  <c r="AI17" i="15"/>
  <c r="AI16" i="15"/>
  <c r="AI15" i="15"/>
  <c r="AI14" i="15"/>
  <c r="AI11" i="15"/>
  <c r="AI10" i="15"/>
  <c r="AI9" i="15"/>
  <c r="AI8" i="15"/>
  <c r="AI7" i="15"/>
  <c r="AI6" i="15"/>
  <c r="AI5" i="15"/>
  <c r="AH32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AH19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32" i="15"/>
  <c r="B28" i="15"/>
  <c r="B19" i="15"/>
  <c r="B12" i="15"/>
  <c r="AI10" i="13"/>
  <c r="AI8" i="13"/>
  <c r="AI7" i="13"/>
  <c r="AI6" i="13"/>
  <c r="AI5" i="13"/>
  <c r="AI4" i="13"/>
  <c r="AH9" i="13"/>
  <c r="AG9" i="13"/>
  <c r="AF9" i="13"/>
  <c r="AE9" i="13"/>
  <c r="AD9" i="13"/>
  <c r="AC9" i="13"/>
  <c r="AB9" i="13"/>
  <c r="AA9" i="13"/>
  <c r="Z9" i="13"/>
  <c r="Y9" i="13"/>
  <c r="X9" i="13"/>
  <c r="W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I32" i="15" l="1"/>
  <c r="AI19" i="15"/>
  <c r="AI28" i="15"/>
  <c r="AI12" i="15"/>
  <c r="AI14" i="18"/>
  <c r="AI15" i="17"/>
  <c r="AI9" i="13"/>
  <c r="AH6" i="1"/>
  <c r="AG6" i="1"/>
  <c r="AF6" i="1"/>
  <c r="AE6" i="1"/>
  <c r="AD6" i="1"/>
  <c r="AC6" i="1"/>
  <c r="AB6" i="1"/>
  <c r="AA6" i="1"/>
  <c r="Z6" i="1"/>
  <c r="Y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E6" i="1"/>
  <c r="D6" i="1"/>
  <c r="C6" i="1"/>
  <c r="B6" i="1"/>
  <c r="F6" i="1"/>
  <c r="AI11" i="1" l="1"/>
  <c r="AI10" i="1"/>
  <c r="AI9" i="1"/>
  <c r="AI7" i="1"/>
  <c r="AI5" i="1"/>
  <c r="AI4" i="1"/>
  <c r="AH14" i="1"/>
  <c r="AG14" i="1"/>
  <c r="AF14" i="1"/>
  <c r="AE14" i="1"/>
  <c r="AD14" i="1"/>
  <c r="AC14" i="1"/>
  <c r="AB14" i="1"/>
  <c r="AA14" i="1"/>
  <c r="Z14" i="1"/>
  <c r="Y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E14" i="1"/>
  <c r="D14" i="1"/>
  <c r="C14" i="1"/>
  <c r="B14" i="1"/>
  <c r="AH12" i="1"/>
  <c r="AG12" i="1"/>
  <c r="AF12" i="1"/>
  <c r="AE12" i="1"/>
  <c r="AD12" i="1"/>
  <c r="AC12" i="1"/>
  <c r="AB12" i="1"/>
  <c r="AA12" i="1"/>
  <c r="Z12" i="1"/>
  <c r="Y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I6" i="1" l="1"/>
  <c r="F14" i="1" l="1"/>
  <c r="BK6" i="3"/>
  <c r="BK5" i="3"/>
  <c r="BK7" i="3"/>
  <c r="BK8" i="3"/>
  <c r="BK10" i="3"/>
  <c r="BK14" i="3"/>
  <c r="BK13" i="3"/>
  <c r="BK12" i="3"/>
  <c r="V91" i="10"/>
  <c r="V14" i="7"/>
  <c r="V22" i="7"/>
  <c r="V20" i="7"/>
  <c r="V24" i="7" l="1"/>
  <c r="X6" i="1"/>
  <c r="X14" i="1"/>
  <c r="AI13" i="1"/>
  <c r="AI12" i="1" s="1"/>
  <c r="X12" i="1"/>
  <c r="AI14" i="1" l="1"/>
  <c r="AI15" i="7"/>
  <c r="U14" i="7"/>
  <c r="AI14" i="7" s="1"/>
  <c r="AI21" i="7"/>
  <c r="U20" i="7"/>
  <c r="AI20" i="7" s="1"/>
  <c r="U22" i="7"/>
  <c r="U24" i="7" s="1"/>
  <c r="AI24" i="7" s="1"/>
  <c r="AI22" i="7" l="1"/>
  <c r="AI10" i="8"/>
  <c r="U9" i="8"/>
  <c r="AI9" i="8" s="1"/>
  <c r="U91" i="10"/>
  <c r="AI91" i="10" s="1"/>
  <c r="AI101" i="10"/>
  <c r="BQ11" i="6"/>
  <c r="BQ12" i="6"/>
  <c r="BP11" i="6"/>
  <c r="BP12" i="6"/>
  <c r="AO11" i="6"/>
  <c r="AO14" i="6"/>
  <c r="BQ14" i="6"/>
  <c r="AN11" i="6"/>
  <c r="AN14" i="6"/>
  <c r="BP14" i="6"/>
</calcChain>
</file>

<file path=xl/sharedStrings.xml><?xml version="1.0" encoding="utf-8"?>
<sst xmlns="http://schemas.openxmlformats.org/spreadsheetml/2006/main" count="2507" uniqueCount="310">
  <si>
    <t>Particulars</t>
  </si>
  <si>
    <t>Acko</t>
  </si>
  <si>
    <t>Aditya Birla</t>
  </si>
  <si>
    <t>AICL</t>
  </si>
  <si>
    <t>Bajaj Allianz</t>
  </si>
  <si>
    <t>Bharti Axa</t>
  </si>
  <si>
    <t>Cholamandalam</t>
  </si>
  <si>
    <t>Edelweiss</t>
  </si>
  <si>
    <t>ECGC</t>
  </si>
  <si>
    <t>Future Generali</t>
  </si>
  <si>
    <t>Go Digit</t>
  </si>
  <si>
    <t>HDFC Ergo</t>
  </si>
  <si>
    <t>ICICI Lombard</t>
  </si>
  <si>
    <t>Iffco Tokio</t>
  </si>
  <si>
    <t>Kotak</t>
  </si>
  <si>
    <t>Liberty</t>
  </si>
  <si>
    <t>Magma HDI</t>
  </si>
  <si>
    <t>Max Bupa</t>
  </si>
  <si>
    <t>National</t>
  </si>
  <si>
    <t>New India</t>
  </si>
  <si>
    <t>Oriental</t>
  </si>
  <si>
    <t>Raheja</t>
  </si>
  <si>
    <t>Reliance General</t>
  </si>
  <si>
    <t>Religare</t>
  </si>
  <si>
    <t>Royal Sundaram</t>
  </si>
  <si>
    <t>SBI</t>
  </si>
  <si>
    <t>Shriram</t>
  </si>
  <si>
    <t>Star Health</t>
  </si>
  <si>
    <t>Tata AIG</t>
  </si>
  <si>
    <t>United India</t>
  </si>
  <si>
    <t>Universal Sompo</t>
  </si>
  <si>
    <t>Industry Total</t>
  </si>
  <si>
    <t>Premiums earned (Net)</t>
  </si>
  <si>
    <t>Profit/ Loss on sale/redemption of Investments</t>
  </si>
  <si>
    <t>Other Income</t>
  </si>
  <si>
    <t>Interest, Dividend &amp; Rent – Gross</t>
  </si>
  <si>
    <t>TOTAL (A)</t>
  </si>
  <si>
    <t>Claims Incurred (Net)</t>
  </si>
  <si>
    <t>Commission</t>
  </si>
  <si>
    <t>Operating Expenses related to Insurance Business</t>
  </si>
  <si>
    <t>TOTAL (B)</t>
  </si>
  <si>
    <t>Operating profit / (loss) (A-B)</t>
  </si>
  <si>
    <t>Others</t>
  </si>
  <si>
    <t>NL-1 Revenue Account</t>
  </si>
  <si>
    <t>in Rs. '000</t>
  </si>
  <si>
    <t>Capital Reserve</t>
  </si>
  <si>
    <t>Capital Redemption Reserve</t>
  </si>
  <si>
    <t>Share/Security Premium</t>
  </si>
  <si>
    <t>General Reserves</t>
  </si>
  <si>
    <t>Catastrophe Reserve</t>
  </si>
  <si>
    <t>Other Reserves</t>
  </si>
  <si>
    <t>Balance of Profit in Profit &amp; Loss Account</t>
  </si>
  <si>
    <t>TOTAL</t>
  </si>
  <si>
    <t>SECURITY-WISE CLASSIFICATION</t>
  </si>
  <si>
    <t>Secured</t>
  </si>
  <si>
    <t>(a) On mortgage of property</t>
  </si>
  <si>
    <t>(aa)  In India</t>
  </si>
  <si>
    <t>(bb) Outside India</t>
  </si>
  <si>
    <t>(b) On Shares, Bonds, Govt. Securities</t>
  </si>
  <si>
    <t>(c) Others</t>
  </si>
  <si>
    <t>Unsecured</t>
  </si>
  <si>
    <t>BORROWER-WISE CLASSIFICATION</t>
  </si>
  <si>
    <t>(a) Central and State Governments</t>
  </si>
  <si>
    <t>(b) Banks and Financial Institutions</t>
  </si>
  <si>
    <t>(c) Subsidiaries</t>
  </si>
  <si>
    <t>(d) Industrial Undertakings</t>
  </si>
  <si>
    <t xml:space="preserve">(e)  Others </t>
  </si>
  <si>
    <t>PERFORMANCE-WISE CLASSIFICATION</t>
  </si>
  <si>
    <t>(a) Loans classified as standard</t>
  </si>
  <si>
    <t>(b) Non-performing loans less provisions</t>
  </si>
  <si>
    <t>Provisions</t>
  </si>
  <si>
    <t>MATURITY-WISE CLASSIFICATION</t>
  </si>
  <si>
    <t>(a) Short Term</t>
  </si>
  <si>
    <t>(b) Long Term</t>
  </si>
  <si>
    <t>Goodwill</t>
  </si>
  <si>
    <t>Intangibles (Software)</t>
  </si>
  <si>
    <t>Land-Freehold</t>
  </si>
  <si>
    <t>Land-Leasehold</t>
  </si>
  <si>
    <t>Leasehold</t>
  </si>
  <si>
    <t xml:space="preserve">Buildings </t>
  </si>
  <si>
    <t>Furniture &amp; Fittings</t>
  </si>
  <si>
    <t>IT Equipments</t>
  </si>
  <si>
    <t>Motor Cars/Vehicles</t>
  </si>
  <si>
    <t>Office Equipments</t>
  </si>
  <si>
    <t>Electrical Equipments</t>
  </si>
  <si>
    <t>Other Assets</t>
  </si>
  <si>
    <t>Capital Work in progress</t>
  </si>
  <si>
    <t>Instangible Assets under development</t>
  </si>
  <si>
    <t>Grand Total</t>
  </si>
  <si>
    <t>Cash (including cheques, drafts and stamps)</t>
  </si>
  <si>
    <t>Bank Balances</t>
  </si>
  <si>
    <t>(a) Deposit Accounts</t>
  </si>
  <si>
    <t>           (aa) Short-term (due within 12 months)</t>
  </si>
  <si>
    <t>           (bb) Others</t>
  </si>
  <si>
    <t>(b) Current Accounts</t>
  </si>
  <si>
    <t>(c) Cheque in Hand</t>
  </si>
  <si>
    <t>(d) Others</t>
  </si>
  <si>
    <t>Money at Call and Short Notice</t>
  </si>
  <si>
    <t>(a) With Banks</t>
  </si>
  <si>
    <t>(b) With other Institutions</t>
  </si>
  <si>
    <t>Agents’ Balances</t>
  </si>
  <si>
    <t>Balances due to other insurance companies</t>
  </si>
  <si>
    <t>Deposits held on re-insurance ceded</t>
  </si>
  <si>
    <t>Premiums received in advance</t>
  </si>
  <si>
    <t>Unallocated Premium</t>
  </si>
  <si>
    <t>Sundry creditors</t>
  </si>
  <si>
    <t>Due to subsidiaries/ holding company</t>
  </si>
  <si>
    <t xml:space="preserve">Claims Outstanding </t>
  </si>
  <si>
    <t>Due to Directors/Officers</t>
  </si>
  <si>
    <t>Unclaimed amount of Policyholders</t>
  </si>
  <si>
    <t>in Rs. Lakhs</t>
  </si>
  <si>
    <t>Available Assets in Policyholders’ Funds</t>
  </si>
  <si>
    <t>Deduct:</t>
  </si>
  <si>
    <t>Liabilities (reserves as mentioned in Form HG)</t>
  </si>
  <si>
    <t>Other Liabilities (other liabilities in respect of  Policyholders’ Fund as mentioned in Balance Sheet)</t>
  </si>
  <si>
    <t>Current Liabilities as per Balance Sheet</t>
  </si>
  <si>
    <t>Provisions as per Balance Sheet</t>
  </si>
  <si>
    <t xml:space="preserve">Excess in Policyholders’ Funds </t>
  </si>
  <si>
    <t>Available Assets in Shareholders’ Funds</t>
  </si>
  <si>
    <t>Other Liabilities (other liabilities in respect of Shareholders’ Fund as mentioned in Balance Sheet)</t>
  </si>
  <si>
    <t>Excess in Shareholders’ Funds</t>
  </si>
  <si>
    <t>Total Available Solvency Margin [ASM]</t>
  </si>
  <si>
    <t>Total Required Solvency Margin  [RSM]</t>
  </si>
  <si>
    <t>Solvency Ratio (Total ASM/Total RSM)</t>
  </si>
  <si>
    <t xml:space="preserve">NL-40 Business Acquisition Through Different Channels </t>
  </si>
  <si>
    <t>No. of Policies- in number only, Premium- in Rs. Lakhs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</si>
  <si>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</si>
  <si>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</si>
  <si>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</si>
  <si>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</si>
  <si>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</si>
  <si>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</si>
  <si>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Total (A)</t>
  </si>
  <si>
    <t>Referral (B)</t>
  </si>
  <si>
    <t>Grand Total (A+B)</t>
  </si>
  <si>
    <t>No.of Policies</t>
  </si>
  <si>
    <t>Premium</t>
  </si>
  <si>
    <t>NL-30 Analytical Ratios</t>
  </si>
  <si>
    <t>Gross Premium Growth Rate</t>
  </si>
  <si>
    <t>Gross Premium to shareholders' fund ratio</t>
  </si>
  <si>
    <t>Gross Direct Premium to Net Worth Ratio</t>
  </si>
  <si>
    <t>Growth Rate of Net Worth</t>
  </si>
  <si>
    <t>Growth rate of shareholders' fund</t>
  </si>
  <si>
    <t>Net Retention Ratio</t>
  </si>
  <si>
    <t>Net Commission Ratio</t>
  </si>
  <si>
    <t>Expense of Management to Gross Direct Premium Ratio</t>
  </si>
  <si>
    <t>Expense of Management to Net Written Premium Ratio</t>
  </si>
  <si>
    <t>Net Incurred claims to Net Earned Premium</t>
  </si>
  <si>
    <t>Combined Ratio</t>
  </si>
  <si>
    <t>Technical Reserves to net premium ratio</t>
  </si>
  <si>
    <t>Underwriting balance ratio</t>
  </si>
  <si>
    <t>Operating Profit Ratio</t>
  </si>
  <si>
    <t>Liquid Assets to Liabilities ratio</t>
  </si>
  <si>
    <t>Net earning ratio</t>
  </si>
  <si>
    <t>Return on net worth ratio</t>
  </si>
  <si>
    <t>Available Solvency Margin Ratio to Required Solvency Margin Ratio</t>
  </si>
  <si>
    <t>NPA Ratio</t>
  </si>
  <si>
    <t>Gross NPA Ratio</t>
  </si>
  <si>
    <t>Net NPA Ratio</t>
  </si>
  <si>
    <t>Motor TP</t>
  </si>
  <si>
    <t>Non TP</t>
  </si>
  <si>
    <t>Total</t>
  </si>
  <si>
    <t>Claims o/s at the beginning of the period</t>
  </si>
  <si>
    <t>Claims reported during the period</t>
  </si>
  <si>
    <t>Claims settled during the period</t>
  </si>
  <si>
    <t>Claims repudiated during the period</t>
  </si>
  <si>
    <t>Claims closed during the period</t>
  </si>
  <si>
    <t>Claims o/s at end of the period</t>
  </si>
  <si>
    <t>Less than 3 months</t>
  </si>
  <si>
    <t>3 months to 6 months</t>
  </si>
  <si>
    <t>6 months to 1 year</t>
  </si>
  <si>
    <t>1 year and above</t>
  </si>
  <si>
    <t>No. of Claims only</t>
  </si>
  <si>
    <t>No. of Reinsurers</t>
  </si>
  <si>
    <t>Premium ceded to reinsurers</t>
  </si>
  <si>
    <t>Premium ceded to reinsurers/ Total reinsurance premium ceded (%)</t>
  </si>
  <si>
    <t>Proportional</t>
  </si>
  <si>
    <t>Non-Proportional</t>
  </si>
  <si>
    <t>Facultative</t>
  </si>
  <si>
    <t>Reinsurance Placement</t>
  </si>
  <si>
    <t>No. of Reinsurers with rating of AAA and above</t>
  </si>
  <si>
    <t>No. of Reinsurers with rating AA but less than AAA</t>
  </si>
  <si>
    <t>No. of Reinsurers with rating A but less than AA</t>
  </si>
  <si>
    <t xml:space="preserve">No. of Reinsurers with rating BBB but less than A </t>
  </si>
  <si>
    <t>No. of Reinsurers with rating less than BBB</t>
  </si>
  <si>
    <t>No. of Domestic Reinsurance Placed with Indian Insurance Companies</t>
  </si>
  <si>
    <t>Domestic Capacity</t>
  </si>
  <si>
    <t>No. of Indian reinsurer other than GIC</t>
  </si>
  <si>
    <t>Government</t>
  </si>
  <si>
    <t>Shareholders</t>
  </si>
  <si>
    <t>Policyholders</t>
  </si>
  <si>
    <t>LONG TERM INVESTMENTS</t>
  </si>
  <si>
    <t>Government securities and Government guaranteed bonds including Treasury Bills</t>
  </si>
  <si>
    <t>Other Approved Securities</t>
  </si>
  <si>
    <t>Other Investments</t>
  </si>
  <si>
    <t>(a) Shares</t>
  </si>
  <si>
    <t xml:space="preserve">      (aa)  Equity</t>
  </si>
  <si>
    <t xml:space="preserve">      (bb) Preference</t>
  </si>
  <si>
    <t>(b) Mutual Funds</t>
  </si>
  <si>
    <t>(c) Debentures/ Bonds</t>
  </si>
  <si>
    <t>(d) Other securities</t>
  </si>
  <si>
    <t>(e) Non convertible debenture/bonds</t>
  </si>
  <si>
    <t>(f) Subsidiaries</t>
  </si>
  <si>
    <t>(g) Investment properties - Real Estate</t>
  </si>
  <si>
    <t>Investments in Infrastructure and Social Sector</t>
  </si>
  <si>
    <t>Other than Approved Investments</t>
  </si>
  <si>
    <t>TOTAL LONG TERM INVESTMENTS</t>
  </si>
  <si>
    <t>SHORT TERM INVESTMENTS</t>
  </si>
  <si>
    <t>TOTAL SHORT TERM INVESTMENTS</t>
  </si>
  <si>
    <t>NL-25 Quarterly Claims Data (Q1)</t>
  </si>
  <si>
    <t>(d) Non convertible debenture/bonds</t>
  </si>
  <si>
    <t>(e) Other securities</t>
  </si>
  <si>
    <t>(f) Fixed Deposit with Bank</t>
  </si>
  <si>
    <t>(g) Subsidiaries</t>
  </si>
  <si>
    <t>NL-7 Operating Expenses</t>
  </si>
  <si>
    <t>Employees remuneration and welfare benefits</t>
  </si>
  <si>
    <t>Travel conveyance and vehicle running expenses</t>
  </si>
  <si>
    <t>Training expenses</t>
  </si>
  <si>
    <t>Rent, rates and taxes</t>
  </si>
  <si>
    <t>Repairs and maintenance</t>
  </si>
  <si>
    <t>Printing and stationery</t>
  </si>
  <si>
    <t>Communication</t>
  </si>
  <si>
    <t>Legal and Professional Charges</t>
  </si>
  <si>
    <t>Advertisement and publicity</t>
  </si>
  <si>
    <t>Interest and bank charges</t>
  </si>
  <si>
    <t>Depreciation</t>
  </si>
  <si>
    <t>Service Tax Expenses / GST Expenses</t>
  </si>
  <si>
    <t>NL-6 Commission</t>
  </si>
  <si>
    <t>FIRE</t>
  </si>
  <si>
    <t>MARINE</t>
  </si>
  <si>
    <t>MOTOR</t>
  </si>
  <si>
    <t>ENGINEERING</t>
  </si>
  <si>
    <t>HEALTH</t>
  </si>
  <si>
    <t>PERSONAL ACCIDENT</t>
  </si>
  <si>
    <t>LIABILITY</t>
  </si>
  <si>
    <t>AVIATION</t>
  </si>
  <si>
    <t>OTHER MISCELLANEOUS</t>
  </si>
  <si>
    <t>Direct</t>
  </si>
  <si>
    <t>Net Commission</t>
  </si>
  <si>
    <t xml:space="preserve">NL-5 Claims </t>
  </si>
  <si>
    <t>Direct claims</t>
  </si>
  <si>
    <t>Net Premium</t>
  </si>
  <si>
    <t>Net Earned Premium</t>
  </si>
  <si>
    <t xml:space="preserve">NL-4 Premium </t>
  </si>
  <si>
    <t>SOURCES OF FUNDS</t>
  </si>
  <si>
    <t>Share Capital</t>
  </si>
  <si>
    <t>Reserves and Surplus</t>
  </si>
  <si>
    <t>Fair Value Change Account</t>
  </si>
  <si>
    <t>Borrowings</t>
  </si>
  <si>
    <t>APPLICATION OF FUNDS</t>
  </si>
  <si>
    <t>Investments- Shareholders Funds</t>
  </si>
  <si>
    <t>Investments- Policyholders Funds</t>
  </si>
  <si>
    <t>Total Investments</t>
  </si>
  <si>
    <t>Loans</t>
  </si>
  <si>
    <t>Fixed Assets</t>
  </si>
  <si>
    <t>Deferred Tax Assets</t>
  </si>
  <si>
    <t>Current Assets</t>
  </si>
  <si>
    <t>Cash and Bank Balances</t>
  </si>
  <si>
    <t>Advances and Other Assets</t>
  </si>
  <si>
    <t>Sub-Total (A)</t>
  </si>
  <si>
    <t>Current Liabilities</t>
  </si>
  <si>
    <t>Sub-Total (B)</t>
  </si>
  <si>
    <t>NET CURRENT ASSETS (C) = (A - B)</t>
  </si>
  <si>
    <t>Miscellaneous Expenditure (to the extent not written off or adjusted)</t>
  </si>
  <si>
    <t>Debit Balance in Profit and Loss Account</t>
  </si>
  <si>
    <t>OPERATING PROFIT/(LOSS)</t>
  </si>
  <si>
    <t>(a) Fire Insurance</t>
  </si>
  <si>
    <t>(b) Marine Insurance</t>
  </si>
  <si>
    <t>(c) Miscellaneous Insurance</t>
  </si>
  <si>
    <t>INCOME FROM INVESTMENTS</t>
  </si>
  <si>
    <t>(a) Interest, Dividend &amp; Rent – Gross</t>
  </si>
  <si>
    <t>(b) Profit on sale of investments</t>
  </si>
  <si>
    <t>Less: Loss on sale of investments</t>
  </si>
  <si>
    <t>(c) Accretion/(Amortisation) of Debt Securities</t>
  </si>
  <si>
    <t>(d) Amortization of Discount / (Premium)</t>
  </si>
  <si>
    <t>OTHER INCOME</t>
  </si>
  <si>
    <t>PROVISIONS (Other than taxation)</t>
  </si>
  <si>
    <t>(a) For diminution in the value of investments</t>
  </si>
  <si>
    <t>(b) For doubtful debts</t>
  </si>
  <si>
    <t xml:space="preserve">OTHER EXPENSES </t>
  </si>
  <si>
    <t>PROFIT / (LOSS) BEFORE TAX (A-B)</t>
  </si>
  <si>
    <t>PROFIT / (LOSS) AFTER TAX</t>
  </si>
  <si>
    <t>Provision for Taxation</t>
  </si>
  <si>
    <t>Premium from direct business written</t>
  </si>
  <si>
    <r>
      <t xml:space="preserve">NL-23 Reinsurance Risk Concentration
</t>
    </r>
    <r>
      <rPr>
        <b/>
        <sz val="12"/>
        <color theme="4" tint="-0.499984740745262"/>
        <rFont val="Calibri"/>
        <family val="2"/>
        <scheme val="minor"/>
      </rPr>
      <t xml:space="preserve">Rs. In Lakhs </t>
    </r>
  </si>
  <si>
    <t>Total Claims Incurred</t>
  </si>
  <si>
    <t>Premium on reinsurance accepted</t>
  </si>
  <si>
    <t>Premium on reinsurance ceded</t>
  </si>
  <si>
    <t>Reinsurance accepted</t>
  </si>
  <si>
    <t>Reinsurance ceded</t>
  </si>
  <si>
    <t>Claims Outstanding at the beginning of the year</t>
  </si>
  <si>
    <t>Claims Outstanding at the end of the year</t>
  </si>
  <si>
    <t>Net Claims Paid</t>
  </si>
  <si>
    <t>HDFC Ergo Health</t>
  </si>
  <si>
    <t>Navi General Insurance</t>
  </si>
  <si>
    <t>Manipal Cigna</t>
  </si>
  <si>
    <t>NL-2 Profit and Loss Account upto the year ended 30 June 2020</t>
  </si>
  <si>
    <t>NL-3 Balance Sheet as at 30 June 2020</t>
  </si>
  <si>
    <t>NL-10 Reserves and Surplus as at 30 June 2020</t>
  </si>
  <si>
    <t>NL-12 Investments as at 30 June 2020</t>
  </si>
  <si>
    <t>Cholomandalam</t>
  </si>
  <si>
    <t>GoDigit</t>
  </si>
  <si>
    <t>NL-13 Loans as at 30 June 2020</t>
  </si>
  <si>
    <t>NL-14 Fixed Assets. Net Block as at 30 June 2020</t>
  </si>
  <si>
    <t>NL-15 Cash and Bank Balance as at 30 June 2020</t>
  </si>
  <si>
    <t>NL-17 Current Liabilities as at 30 June 2020</t>
  </si>
  <si>
    <t>Raheja QBE</t>
  </si>
  <si>
    <t>United India Insurance</t>
  </si>
  <si>
    <t xml:space="preserve">HDFC Ergo </t>
  </si>
  <si>
    <t>NL-33 Solvency Margin KGII for the period ended 30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</si>
</sst>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%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ill="0" applyBorder="0" applyAlignment="0" applyProtection="0"/>
    <xf numFmtId="0" fontId="10" fillId="0" borderId="0"/>
  </cellStyleXfs>
  <cellXfs count="117">
    <xf numFmtId="0" fontId="0" fillId="0" borderId="0" xfId="0"/>
    <xf numFmtId="1" fontId="1" fillId="0" borderId="1" xfId="0" applyNumberFormat="1" applyFont="1" applyBorder="1" applyAlignment="1">
      <alignment horizontal="left" wrapText="1"/>
    </xf>
    <xf numFmtId="1" fontId="1" fillId="0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1" fillId="0" borderId="0" xfId="0" applyFont="1"/>
    <xf numFmtId="1" fontId="4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" fontId="1" fillId="0" borderId="0" xfId="0" applyNumberFormat="1" applyFont="1"/>
    <xf numFmtId="1" fontId="4" fillId="0" borderId="0" xfId="0" applyNumberFormat="1" applyFont="1"/>
    <xf numFmtId="1" fontId="0" fillId="0" borderId="1" xfId="0" applyNumberFormat="1" applyBorder="1"/>
    <xf numFmtId="1" fontId="1" fillId="0" borderId="1" xfId="0" applyNumberFormat="1" applyFont="1" applyBorder="1"/>
    <xf numFmtId="0" fontId="0" fillId="0" borderId="0" xfId="0" applyAlignment="1">
      <alignment wrapText="1"/>
    </xf>
    <xf numFmtId="0" fontId="4" fillId="0" borderId="0" xfId="0" applyFont="1" applyAlignment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1" fontId="4" fillId="0" borderId="0" xfId="0" applyNumberFormat="1" applyFont="1" applyAlignment="1"/>
    <xf numFmtId="1" fontId="0" fillId="0" borderId="0" xfId="0" applyNumberFormat="1" applyFont="1" applyAlignment="1">
      <alignment wrapText="1"/>
    </xf>
    <xf numFmtId="1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2" fontId="2" fillId="0" borderId="1" xfId="0" applyNumberFormat="1" applyFont="1" applyBorder="1"/>
    <xf numFmtId="1" fontId="0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0" fillId="0" borderId="0" xfId="0" applyNumberFormat="1" applyFont="1"/>
    <xf numFmtId="1" fontId="7" fillId="0" borderId="0" xfId="0" applyNumberFormat="1" applyFont="1"/>
    <xf numFmtId="1" fontId="0" fillId="0" borderId="1" xfId="0" applyNumberFormat="1" applyFont="1" applyBorder="1"/>
    <xf numFmtId="1" fontId="0" fillId="0" borderId="0" xfId="0" applyNumberFormat="1" applyFont="1" applyBorder="1"/>
    <xf numFmtId="1" fontId="7" fillId="0" borderId="0" xfId="0" applyNumberFormat="1" applyFont="1" applyBorder="1"/>
    <xf numFmtId="1" fontId="7" fillId="0" borderId="0" xfId="0" applyNumberFormat="1" applyFont="1" applyAlignment="1">
      <alignment wrapText="1"/>
    </xf>
    <xf numFmtId="1" fontId="0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2" fontId="1" fillId="0" borderId="0" xfId="0" applyNumberFormat="1" applyFont="1"/>
    <xf numFmtId="1" fontId="2" fillId="0" borderId="1" xfId="0" applyNumberFormat="1" applyFont="1" applyBorder="1"/>
    <xf numFmtId="1" fontId="2" fillId="0" borderId="0" xfId="0" applyNumberFormat="1" applyFont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9" fontId="0" fillId="0" borderId="1" xfId="0" applyNumberFormat="1" applyBorder="1"/>
    <xf numFmtId="10" fontId="0" fillId="0" borderId="1" xfId="0" applyNumberFormat="1" applyBorder="1"/>
    <xf numFmtId="164" fontId="0" fillId="0" borderId="1" xfId="0" applyNumberFormat="1" applyBorder="1"/>
    <xf numFmtId="10" fontId="0" fillId="0" borderId="1" xfId="1" applyNumberFormat="1" applyFont="1" applyBorder="1"/>
    <xf numFmtId="2" fontId="0" fillId="0" borderId="1" xfId="1" applyNumberFormat="1" applyFont="1" applyBorder="1"/>
    <xf numFmtId="10" fontId="2" fillId="0" borderId="1" xfId="1" applyNumberFormat="1" applyFont="1" applyBorder="1"/>
    <xf numFmtId="2" fontId="0" fillId="0" borderId="0" xfId="0" applyNumberFormat="1"/>
    <xf numFmtId="2" fontId="1" fillId="0" borderId="1" xfId="0" applyNumberFormat="1" applyFont="1" applyBorder="1" applyAlignment="1">
      <alignment horizontal="left" wrapText="1"/>
    </xf>
    <xf numFmtId="2" fontId="2" fillId="0" borderId="0" xfId="0" applyNumberFormat="1" applyFont="1"/>
    <xf numFmtId="10" fontId="0" fillId="0" borderId="0" xfId="1" applyNumberFormat="1" applyFont="1"/>
    <xf numFmtId="1" fontId="1" fillId="0" borderId="1" xfId="0" applyNumberFormat="1" applyFont="1" applyBorder="1" applyAlignment="1">
      <alignment horizontal="center"/>
    </xf>
    <xf numFmtId="1" fontId="4" fillId="0" borderId="0" xfId="0" applyNumberFormat="1" applyFont="1" applyFill="1" applyAlignment="1"/>
    <xf numFmtId="1" fontId="0" fillId="0" borderId="0" xfId="0" applyNumberFormat="1" applyFill="1"/>
    <xf numFmtId="1" fontId="0" fillId="0" borderId="0" xfId="0" applyNumberFormat="1" applyFill="1" applyAlignment="1">
      <alignment wrapText="1"/>
    </xf>
    <xf numFmtId="1" fontId="1" fillId="0" borderId="1" xfId="0" applyNumberFormat="1" applyFont="1" applyFill="1" applyBorder="1" applyAlignment="1">
      <alignment wrapText="1"/>
    </xf>
    <xf numFmtId="1" fontId="0" fillId="0" borderId="1" xfId="0" applyNumberFormat="1" applyFill="1" applyBorder="1"/>
    <xf numFmtId="1" fontId="0" fillId="0" borderId="1" xfId="0" applyNumberFormat="1" applyFill="1" applyBorder="1" applyAlignment="1">
      <alignment wrapText="1"/>
    </xf>
    <xf numFmtId="1" fontId="1" fillId="0" borderId="1" xfId="0" applyNumberFormat="1" applyFont="1" applyFill="1" applyBorder="1"/>
    <xf numFmtId="1" fontId="1" fillId="0" borderId="0" xfId="0" applyNumberFormat="1" applyFont="1" applyFill="1"/>
    <xf numFmtId="1" fontId="3" fillId="0" borderId="0" xfId="0" applyNumberFormat="1" applyFont="1"/>
    <xf numFmtId="2" fontId="4" fillId="0" borderId="0" xfId="0" applyNumberFormat="1" applyFont="1" applyAlignment="1">
      <alignment wrapText="1"/>
    </xf>
    <xf numFmtId="1" fontId="1" fillId="0" borderId="1" xfId="0" applyNumberFormat="1" applyFont="1" applyBorder="1" applyAlignment="1">
      <alignment horizontal="center"/>
    </xf>
    <xf numFmtId="9" fontId="2" fillId="0" borderId="1" xfId="1" applyFont="1" applyBorder="1"/>
    <xf numFmtId="2" fontId="0" fillId="0" borderId="1" xfId="0" applyNumberFormat="1" applyBorder="1"/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3" fontId="0" fillId="0" borderId="1" xfId="0" applyNumberForma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5" fontId="0" fillId="0" borderId="1" xfId="0" applyNumberFormat="1" applyBorder="1"/>
    <xf numFmtId="10" fontId="0" fillId="0" borderId="0" xfId="0" applyNumberFormat="1"/>
    <xf numFmtId="9" fontId="0" fillId="0" borderId="0" xfId="0" applyNumberFormat="1"/>
    <xf numFmtId="0" fontId="0" fillId="0" borderId="4" xfId="0" applyBorder="1"/>
    <xf numFmtId="9" fontId="0" fillId="0" borderId="4" xfId="0" applyNumberFormat="1" applyBorder="1"/>
    <xf numFmtId="1" fontId="6" fillId="0" borderId="1" xfId="0" applyNumberFormat="1" applyFont="1" applyBorder="1"/>
    <xf numFmtId="9" fontId="0" fillId="0" borderId="1" xfId="1" applyFont="1" applyBorder="1"/>
    <xf numFmtId="9" fontId="2" fillId="0" borderId="1" xfId="1" applyNumberFormat="1" applyFont="1" applyBorder="1"/>
    <xf numFmtId="9" fontId="0" fillId="0" borderId="0" xfId="1" applyFont="1"/>
    <xf numFmtId="9" fontId="0" fillId="0" borderId="0" xfId="1" applyNumberFormat="1" applyFont="1"/>
    <xf numFmtId="9" fontId="0" fillId="0" borderId="1" xfId="1" applyNumberFormat="1" applyFont="1" applyBorder="1"/>
    <xf numFmtId="1" fontId="0" fillId="0" borderId="0" xfId="1" applyNumberFormat="1" applyFont="1"/>
    <xf numFmtId="1" fontId="0" fillId="0" borderId="1" xfId="1" applyNumberFormat="1" applyFont="1" applyBorder="1"/>
    <xf numFmtId="1" fontId="2" fillId="0" borderId="1" xfId="1" applyNumberFormat="1" applyFont="1" applyBorder="1"/>
    <xf numFmtId="2" fontId="0" fillId="0" borderId="0" xfId="1" applyNumberFormat="1" applyFont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0" fontId="0" fillId="0" borderId="0" xfId="0"/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</cellXfs>
  <cellStyles count="6">
    <cellStyle name="Comma 2" xfId="4"/>
    <cellStyle name="Comma 3" xfId="3"/>
    <cellStyle name="Excel Built-in Normal" xfId="5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5" x14ac:dyDescent="0.25"/>
  <cols>
    <col min="1" max="1" width="33.140625" style="8" customWidth="1"/>
    <col min="2" max="34" width="16" style="8" customWidth="1"/>
    <col min="35" max="35" width="16" style="9" customWidth="1"/>
    <col min="36" max="16384" width="9.140625" style="8"/>
  </cols>
  <sheetData>
    <row r="1" spans="1:35" ht="18.75" x14ac:dyDescent="0.3">
      <c r="A1" s="6" t="s">
        <v>43</v>
      </c>
    </row>
    <row r="2" spans="1:35" x14ac:dyDescent="0.25">
      <c r="A2" s="7" t="s">
        <v>44</v>
      </c>
    </row>
    <row r="3" spans="1:35" x14ac:dyDescent="0.25">
      <c r="A3" s="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293</v>
      </c>
      <c r="N3" s="22" t="s">
        <v>12</v>
      </c>
      <c r="O3" s="22" t="s">
        <v>13</v>
      </c>
      <c r="P3" s="22" t="s">
        <v>14</v>
      </c>
      <c r="Q3" s="22" t="s">
        <v>15</v>
      </c>
      <c r="R3" s="22" t="s">
        <v>16</v>
      </c>
      <c r="S3" s="22" t="s">
        <v>295</v>
      </c>
      <c r="T3" s="73" t="s">
        <v>17</v>
      </c>
      <c r="U3" s="73" t="s">
        <v>18</v>
      </c>
      <c r="V3" s="22" t="s">
        <v>294</v>
      </c>
      <c r="W3" s="22" t="s">
        <v>19</v>
      </c>
      <c r="X3" s="22" t="s">
        <v>20</v>
      </c>
      <c r="Y3" s="22" t="s">
        <v>306</v>
      </c>
      <c r="Z3" s="22" t="s">
        <v>22</v>
      </c>
      <c r="AA3" s="22" t="s">
        <v>23</v>
      </c>
      <c r="AB3" s="22" t="s">
        <v>24</v>
      </c>
      <c r="AC3" s="22" t="s">
        <v>25</v>
      </c>
      <c r="AD3" s="22" t="s">
        <v>26</v>
      </c>
      <c r="AE3" s="22" t="s">
        <v>27</v>
      </c>
      <c r="AF3" s="22" t="s">
        <v>28</v>
      </c>
      <c r="AG3" s="2" t="s">
        <v>29</v>
      </c>
      <c r="AH3" s="22" t="s">
        <v>30</v>
      </c>
      <c r="AI3" s="22" t="s">
        <v>31</v>
      </c>
    </row>
    <row r="4" spans="1:35" x14ac:dyDescent="0.25">
      <c r="A4" s="3" t="s">
        <v>32</v>
      </c>
      <c r="B4" s="11">
        <v>283499</v>
      </c>
      <c r="C4" s="11">
        <v>1516104</v>
      </c>
      <c r="D4">
        <v>525922</v>
      </c>
      <c r="E4" s="11">
        <v>18178079</v>
      </c>
      <c r="F4" s="11">
        <v>4163804</v>
      </c>
      <c r="G4" s="11">
        <f>56639+7683795+276378</f>
        <v>8016812</v>
      </c>
      <c r="H4" s="11">
        <v>349559</v>
      </c>
      <c r="I4" s="11">
        <v>1470840.31</v>
      </c>
      <c r="J4" s="11">
        <v>4889210</v>
      </c>
      <c r="K4" s="11">
        <v>3882644</v>
      </c>
      <c r="L4" s="11">
        <v>10237350</v>
      </c>
      <c r="M4" s="11">
        <v>2281127</v>
      </c>
      <c r="N4" s="11">
        <v>23238392</v>
      </c>
      <c r="O4" s="11">
        <f>170799+10056036+213491</f>
        <v>10440326</v>
      </c>
      <c r="P4" s="11">
        <v>851981</v>
      </c>
      <c r="Q4" s="8">
        <f>43381+38210+3033453</f>
        <v>3115044</v>
      </c>
      <c r="R4" s="11">
        <v>1875578</v>
      </c>
      <c r="S4" s="11">
        <v>1276319</v>
      </c>
      <c r="T4" s="11">
        <v>2149187</v>
      </c>
      <c r="U4" s="11">
        <v>24176705.241277788</v>
      </c>
      <c r="V4" s="11">
        <v>213794</v>
      </c>
      <c r="W4" s="11">
        <f>860395 +52393240+6921908</f>
        <v>60175543</v>
      </c>
      <c r="X4" s="11">
        <f>607125+2545413+21266292</f>
        <v>24418830</v>
      </c>
      <c r="Y4" s="11">
        <v>348739</v>
      </c>
      <c r="Z4" s="11">
        <f>19577+521418+7645079</f>
        <v>8186074</v>
      </c>
      <c r="AA4" s="11">
        <v>3214458</v>
      </c>
      <c r="AB4" s="11">
        <v>86000</v>
      </c>
      <c r="AC4" s="11">
        <v>8595110</v>
      </c>
      <c r="AD4" s="39">
        <v>5619483</v>
      </c>
      <c r="AE4" s="11">
        <v>10620392</v>
      </c>
      <c r="AF4" s="11">
        <v>11399157</v>
      </c>
      <c r="AG4" s="39">
        <v>31616661</v>
      </c>
      <c r="AH4" s="11">
        <f>12600+148771+2911188</f>
        <v>3072559</v>
      </c>
      <c r="AI4" s="12">
        <f>SUM(B4:AH4)</f>
        <v>290485282.55127776</v>
      </c>
    </row>
    <row r="5" spans="1:35" ht="30" x14ac:dyDescent="0.25">
      <c r="A5" s="3" t="s">
        <v>33</v>
      </c>
      <c r="B5" s="11">
        <v>19201</v>
      </c>
      <c r="C5" s="11">
        <v>17645</v>
      </c>
      <c r="D5" s="11">
        <v>20795</v>
      </c>
      <c r="E5" s="11">
        <v>604304</v>
      </c>
      <c r="F5" s="11">
        <v>44941</v>
      </c>
      <c r="G5" s="11">
        <f>796+333715+12437</f>
        <v>346948</v>
      </c>
      <c r="H5" s="11">
        <v>29011</v>
      </c>
      <c r="I5" s="11">
        <v>76067.69</v>
      </c>
      <c r="J5" s="11">
        <v>14495</v>
      </c>
      <c r="K5" s="11">
        <v>526518</v>
      </c>
      <c r="L5" s="11">
        <v>196154</v>
      </c>
      <c r="M5" s="11">
        <v>23022</v>
      </c>
      <c r="N5" s="11">
        <v>467316</v>
      </c>
      <c r="O5" s="11">
        <f>588+48373+967</f>
        <v>49928</v>
      </c>
      <c r="P5" s="11">
        <v>38865</v>
      </c>
      <c r="Q5" s="11">
        <f>105+557+4053</f>
        <v>4715</v>
      </c>
      <c r="R5" s="11">
        <v>70010</v>
      </c>
      <c r="S5" s="11">
        <f>4596-7195</f>
        <v>-2599</v>
      </c>
      <c r="T5" s="11">
        <v>6343</v>
      </c>
      <c r="U5" s="11">
        <v>1246065</v>
      </c>
      <c r="V5" s="11">
        <v>309</v>
      </c>
      <c r="W5" s="11">
        <f>9496+ 460249+71249</f>
        <v>540994</v>
      </c>
      <c r="X5" s="11">
        <f>7056+34009+345682</f>
        <v>386747</v>
      </c>
      <c r="Y5" s="11">
        <v>3130</v>
      </c>
      <c r="Z5" s="11">
        <f>1543+19490+504469</f>
        <v>525502</v>
      </c>
      <c r="AA5" s="11"/>
      <c r="AB5" s="11">
        <v>4226</v>
      </c>
      <c r="AC5" s="11">
        <v>228635</v>
      </c>
      <c r="AD5">
        <v>374371</v>
      </c>
      <c r="AE5" s="11">
        <v>118</v>
      </c>
      <c r="AF5" s="11">
        <v>323928</v>
      </c>
      <c r="AG5" s="39">
        <v>1890799</v>
      </c>
      <c r="AH5" s="11">
        <f>42+1277+16375</f>
        <v>17694</v>
      </c>
      <c r="AI5" s="12">
        <f>SUM(B5:AH5)</f>
        <v>8096197.6899999995</v>
      </c>
    </row>
    <row r="6" spans="1:35" x14ac:dyDescent="0.25">
      <c r="A6" s="3" t="s">
        <v>34</v>
      </c>
      <c r="B6" s="11">
        <f t="shared" ref="B6:E6" si="0">B8-B7-B5-B4</f>
        <v>0</v>
      </c>
      <c r="C6" s="11">
        <f t="shared" si="0"/>
        <v>-3817</v>
      </c>
      <c r="D6" s="11">
        <f t="shared" si="0"/>
        <v>34308</v>
      </c>
      <c r="E6" s="11">
        <f t="shared" si="0"/>
        <v>17148</v>
      </c>
      <c r="F6" s="11">
        <f>F8-F7-F5-F4</f>
        <v>-1793</v>
      </c>
      <c r="G6" s="11">
        <f t="shared" ref="G6:AI6" si="1">G8-G7-G5-G4</f>
        <v>236198</v>
      </c>
      <c r="H6" s="11">
        <f t="shared" si="1"/>
        <v>7</v>
      </c>
      <c r="I6" s="11">
        <f t="shared" si="1"/>
        <v>1677.0999999998603</v>
      </c>
      <c r="J6" s="11">
        <f t="shared" si="1"/>
        <v>1387</v>
      </c>
      <c r="K6" s="11">
        <f t="shared" si="1"/>
        <v>17818</v>
      </c>
      <c r="L6" s="11">
        <f t="shared" si="1"/>
        <v>13719</v>
      </c>
      <c r="M6" s="11">
        <f t="shared" si="1"/>
        <v>6257</v>
      </c>
      <c r="N6" s="11">
        <f t="shared" si="1"/>
        <v>118276</v>
      </c>
      <c r="O6" s="11">
        <f t="shared" si="1"/>
        <v>1270</v>
      </c>
      <c r="P6" s="11">
        <f t="shared" si="1"/>
        <v>195</v>
      </c>
      <c r="Q6" s="11">
        <f t="shared" si="1"/>
        <v>0</v>
      </c>
      <c r="R6" s="11">
        <f t="shared" si="1"/>
        <v>17430</v>
      </c>
      <c r="S6" s="11">
        <f t="shared" si="1"/>
        <v>0</v>
      </c>
      <c r="T6" s="11">
        <f t="shared" si="1"/>
        <v>304085</v>
      </c>
      <c r="U6" s="11">
        <f t="shared" si="1"/>
        <v>0</v>
      </c>
      <c r="V6" s="11">
        <f t="shared" si="1"/>
        <v>0</v>
      </c>
      <c r="W6" s="11">
        <f t="shared" si="1"/>
        <v>0</v>
      </c>
      <c r="X6" s="11">
        <f t="shared" si="1"/>
        <v>-513614</v>
      </c>
      <c r="Y6" s="11">
        <f t="shared" si="1"/>
        <v>115403</v>
      </c>
      <c r="Z6" s="11">
        <f t="shared" si="1"/>
        <v>40083</v>
      </c>
      <c r="AA6" s="11">
        <f t="shared" si="1"/>
        <v>0</v>
      </c>
      <c r="AB6" s="11">
        <f t="shared" si="1"/>
        <v>1550</v>
      </c>
      <c r="AC6" s="11">
        <f t="shared" si="1"/>
        <v>6318</v>
      </c>
      <c r="AD6" s="11">
        <f t="shared" si="1"/>
        <v>-2612</v>
      </c>
      <c r="AE6" s="11">
        <f t="shared" si="1"/>
        <v>0</v>
      </c>
      <c r="AF6" s="11">
        <f t="shared" si="1"/>
        <v>8297</v>
      </c>
      <c r="AG6" s="11">
        <f t="shared" si="1"/>
        <v>1113</v>
      </c>
      <c r="AH6" s="11">
        <f t="shared" si="1"/>
        <v>-28053</v>
      </c>
      <c r="AI6" s="12">
        <f t="shared" si="1"/>
        <v>-337545429.54127777</v>
      </c>
    </row>
    <row r="7" spans="1:35" x14ac:dyDescent="0.25">
      <c r="A7" s="3" t="s">
        <v>35</v>
      </c>
      <c r="B7" s="11">
        <v>37995</v>
      </c>
      <c r="C7" s="11">
        <v>111787</v>
      </c>
      <c r="D7" s="11">
        <v>915775</v>
      </c>
      <c r="E7" s="11">
        <v>2399296</v>
      </c>
      <c r="F7" s="11">
        <v>758749</v>
      </c>
      <c r="G7" s="11">
        <f>3253+1363639+50820</f>
        <v>1417712</v>
      </c>
      <c r="H7" s="11">
        <v>27713</v>
      </c>
      <c r="I7" s="11">
        <v>1213953.3</v>
      </c>
      <c r="J7" s="11">
        <v>695215</v>
      </c>
      <c r="K7">
        <v>-16</v>
      </c>
      <c r="L7" s="11">
        <v>1805345</v>
      </c>
      <c r="M7" s="11">
        <v>261843</v>
      </c>
      <c r="N7" s="11">
        <v>3472744</v>
      </c>
      <c r="O7" s="11">
        <f>15819+1301475+26015</f>
        <v>1343309</v>
      </c>
      <c r="P7" s="11">
        <v>91226</v>
      </c>
      <c r="Q7" s="11">
        <f>8103+43248+313902</f>
        <v>365253</v>
      </c>
      <c r="R7" s="11">
        <v>354539</v>
      </c>
      <c r="S7" s="11">
        <v>64583</v>
      </c>
      <c r="T7" s="11">
        <v>125828</v>
      </c>
      <c r="U7" s="11">
        <v>3168703</v>
      </c>
      <c r="V7" s="11">
        <v>30547</v>
      </c>
      <c r="W7" s="11">
        <f>96727 +4687948+725719</f>
        <v>5510394</v>
      </c>
      <c r="X7" s="11">
        <f>56979+274623+2791426</f>
        <v>3123028</v>
      </c>
      <c r="Y7" s="11">
        <v>61797</v>
      </c>
      <c r="Z7" s="11">
        <f>5097+64343+1665380</f>
        <v>1734820</v>
      </c>
      <c r="AA7" s="11">
        <v>244076</v>
      </c>
      <c r="AB7" s="11">
        <v>41879</v>
      </c>
      <c r="AC7" s="11">
        <v>1073363</v>
      </c>
      <c r="AD7">
        <v>1357257</v>
      </c>
      <c r="AE7" s="11">
        <v>519718</v>
      </c>
      <c r="AF7" s="11">
        <v>1782152</v>
      </c>
      <c r="AG7" s="39">
        <v>4429152</v>
      </c>
      <c r="AH7" s="11">
        <f>1003+30621+392590</f>
        <v>424214</v>
      </c>
      <c r="AI7" s="12">
        <f>SUM(B7:AH7)</f>
        <v>38963949.299999997</v>
      </c>
    </row>
    <row r="8" spans="1:35" s="9" customFormat="1" x14ac:dyDescent="0.25">
      <c r="A8" s="4" t="s">
        <v>36</v>
      </c>
      <c r="B8" s="12">
        <v>340695</v>
      </c>
      <c r="C8" s="12">
        <v>1641719</v>
      </c>
      <c r="D8" s="12">
        <v>1496800</v>
      </c>
      <c r="E8" s="12">
        <v>21198827</v>
      </c>
      <c r="F8" s="12">
        <v>4965701</v>
      </c>
      <c r="G8" s="12">
        <f>60798+9588726+368146</f>
        <v>10017670</v>
      </c>
      <c r="H8" s="12">
        <v>406290</v>
      </c>
      <c r="I8" s="12">
        <v>2762538.4</v>
      </c>
      <c r="J8" s="12">
        <v>5600307</v>
      </c>
      <c r="K8" s="12">
        <v>4426964</v>
      </c>
      <c r="L8" s="12">
        <v>12252568</v>
      </c>
      <c r="M8" s="12">
        <v>2572249</v>
      </c>
      <c r="N8" s="12">
        <v>27296728</v>
      </c>
      <c r="O8" s="12">
        <f>187194+11406626+241013</f>
        <v>11834833</v>
      </c>
      <c r="P8" s="12">
        <v>982267</v>
      </c>
      <c r="Q8" s="12">
        <f>51589+82015+3351408</f>
        <v>3485012</v>
      </c>
      <c r="R8" s="12">
        <v>2317557</v>
      </c>
      <c r="S8" s="12">
        <v>1338303</v>
      </c>
      <c r="T8" s="12">
        <v>2585443</v>
      </c>
      <c r="U8" s="12">
        <v>28591473.241277788</v>
      </c>
      <c r="V8" s="12">
        <v>244650</v>
      </c>
      <c r="W8" s="12">
        <f>966618 +57541437+7718876</f>
        <v>66226931</v>
      </c>
      <c r="X8" s="12">
        <f>661788+2808882+23944321</f>
        <v>27414991</v>
      </c>
      <c r="Y8" s="12">
        <v>529069</v>
      </c>
      <c r="Z8" s="12">
        <f>26217+604765+9855497</f>
        <v>10486479</v>
      </c>
      <c r="AA8" s="12">
        <v>3458534</v>
      </c>
      <c r="AB8" s="12">
        <v>133655</v>
      </c>
      <c r="AC8" s="12">
        <v>9903426</v>
      </c>
      <c r="AD8" s="12">
        <v>7348499</v>
      </c>
      <c r="AE8" s="12">
        <v>11140228</v>
      </c>
      <c r="AF8" s="12">
        <v>13513534</v>
      </c>
      <c r="AG8" s="12">
        <v>37937725</v>
      </c>
      <c r="AH8" s="12">
        <f>13574+180493+3292347</f>
        <v>3486414</v>
      </c>
      <c r="AI8" s="12"/>
    </row>
    <row r="9" spans="1:35" x14ac:dyDescent="0.25">
      <c r="A9" s="3" t="s">
        <v>37</v>
      </c>
      <c r="B9" s="11">
        <v>241106</v>
      </c>
      <c r="C9" s="11">
        <v>727739</v>
      </c>
      <c r="D9" s="11">
        <v>289815</v>
      </c>
      <c r="E9" s="11">
        <v>12377311</v>
      </c>
      <c r="F9" s="11">
        <v>2806566</v>
      </c>
      <c r="G9" s="11">
        <f>25528+4884398+189058</f>
        <v>5098984</v>
      </c>
      <c r="H9" s="11">
        <v>380575</v>
      </c>
      <c r="I9" s="11">
        <v>3574543.85</v>
      </c>
      <c r="J9" s="11">
        <v>3183752</v>
      </c>
      <c r="K9" s="11">
        <v>2661347</v>
      </c>
      <c r="L9" s="11">
        <v>7709136</v>
      </c>
      <c r="M9" s="11">
        <v>2342704</v>
      </c>
      <c r="N9" s="11">
        <v>16216593</v>
      </c>
      <c r="O9" s="11">
        <f>76528+7900677+207172</f>
        <v>8184377</v>
      </c>
      <c r="P9" s="11">
        <v>475919</v>
      </c>
      <c r="Q9" s="11">
        <f>7202+42542+1305183</f>
        <v>1354927</v>
      </c>
      <c r="R9" s="11">
        <v>1572194</v>
      </c>
      <c r="S9" s="11">
        <v>424160</v>
      </c>
      <c r="T9" s="11">
        <v>1099846</v>
      </c>
      <c r="U9" s="11">
        <v>15857194.533602171</v>
      </c>
      <c r="V9" s="11">
        <v>143831</v>
      </c>
      <c r="W9" s="11">
        <f>304965 +31539459+8038030</f>
        <v>39882454</v>
      </c>
      <c r="X9" s="11">
        <f>361224+2038597+13624568</f>
        <v>16024389</v>
      </c>
      <c r="Y9" s="11">
        <v>323836</v>
      </c>
      <c r="Z9" s="11">
        <f>2922+577932+5430607</f>
        <v>6011461</v>
      </c>
      <c r="AA9" s="11">
        <v>1730176</v>
      </c>
      <c r="AB9" s="11">
        <v>132898</v>
      </c>
      <c r="AC9" s="11">
        <v>6545893</v>
      </c>
      <c r="AD9" s="11">
        <v>3711589</v>
      </c>
      <c r="AE9" s="11">
        <v>5435620</v>
      </c>
      <c r="AF9" s="11">
        <v>7621093</v>
      </c>
      <c r="AG9" s="39">
        <v>20639261</v>
      </c>
      <c r="AH9" s="11">
        <f>6930+235965+2153785</f>
        <v>2396680</v>
      </c>
      <c r="AI9" s="12">
        <f>SUM(B9:AH9)</f>
        <v>197177970.38360217</v>
      </c>
    </row>
    <row r="10" spans="1:35" x14ac:dyDescent="0.25">
      <c r="A10" s="3" t="s">
        <v>38</v>
      </c>
      <c r="B10" s="11">
        <v>-24759</v>
      </c>
      <c r="C10" s="11">
        <v>114555</v>
      </c>
      <c r="D10" s="11">
        <v>46921</v>
      </c>
      <c r="E10" s="11">
        <v>-135016</v>
      </c>
      <c r="F10" s="11">
        <v>227392</v>
      </c>
      <c r="G10" s="11">
        <f>-3136+121435-33221</f>
        <v>85078</v>
      </c>
      <c r="H10" s="11">
        <v>26466</v>
      </c>
      <c r="I10" s="11">
        <v>-50226.73</v>
      </c>
      <c r="J10" s="11">
        <v>211800</v>
      </c>
      <c r="K10" s="11">
        <v>71529</v>
      </c>
      <c r="L10" s="11">
        <v>-94749</v>
      </c>
      <c r="M10" s="11">
        <v>194067</v>
      </c>
      <c r="N10" s="11">
        <v>1016226</v>
      </c>
      <c r="O10" s="11">
        <f>11790+656480-149972</f>
        <v>518298</v>
      </c>
      <c r="P10" s="11">
        <v>59186</v>
      </c>
      <c r="Q10" s="11">
        <f>9784-15213+235649</f>
        <v>230220</v>
      </c>
      <c r="R10" s="11">
        <v>-100770</v>
      </c>
      <c r="S10" s="11">
        <v>148879</v>
      </c>
      <c r="T10" s="11">
        <v>61742</v>
      </c>
      <c r="U10" s="11">
        <v>1739791.5573600002</v>
      </c>
      <c r="V10" s="11">
        <v>5746</v>
      </c>
      <c r="W10" s="11">
        <f>142070 +4560128+1543249</f>
        <v>6245447</v>
      </c>
      <c r="X10" s="11">
        <f>36753+163200+1308338</f>
        <v>1508291</v>
      </c>
      <c r="Y10" s="11">
        <v>40369</v>
      </c>
      <c r="Z10" s="11">
        <f>-13150+30672+35723</f>
        <v>53245</v>
      </c>
      <c r="AA10" s="11">
        <v>-29233</v>
      </c>
      <c r="AB10" s="11">
        <v>-15216</v>
      </c>
      <c r="AC10" s="11">
        <v>-14844</v>
      </c>
      <c r="AD10" s="11">
        <v>229696</v>
      </c>
      <c r="AE10" s="11">
        <v>1125660</v>
      </c>
      <c r="AF10" s="11">
        <v>328153</v>
      </c>
      <c r="AG10" s="39">
        <v>1926050</v>
      </c>
      <c r="AH10" s="11">
        <f>-4933-19467+231798</f>
        <v>207398</v>
      </c>
      <c r="AI10" s="12">
        <f>SUM(B10:AH10)</f>
        <v>15957391.82736</v>
      </c>
    </row>
    <row r="11" spans="1:35" ht="30" x14ac:dyDescent="0.25">
      <c r="A11" s="3" t="s">
        <v>39</v>
      </c>
      <c r="B11" s="11">
        <v>293663</v>
      </c>
      <c r="C11" s="11">
        <v>1422817</v>
      </c>
      <c r="D11" s="11">
        <v>479249</v>
      </c>
      <c r="E11" s="11">
        <v>4188845</v>
      </c>
      <c r="F11" s="11">
        <v>1402880</v>
      </c>
      <c r="G11" s="11">
        <f>14293+2198775+116929</f>
        <v>2329997</v>
      </c>
      <c r="H11" s="11">
        <v>260273</v>
      </c>
      <c r="I11" s="11">
        <v>408976.3</v>
      </c>
      <c r="J11" s="11">
        <v>1689270</v>
      </c>
      <c r="K11" s="11">
        <v>1417188</v>
      </c>
      <c r="L11" s="11">
        <v>2901547</v>
      </c>
      <c r="M11" s="11">
        <v>1028018</v>
      </c>
      <c r="N11" s="11">
        <v>5624021</v>
      </c>
      <c r="O11" s="11">
        <f>32706+1549097+47301</f>
        <v>1629104</v>
      </c>
      <c r="P11" s="11">
        <v>360189</v>
      </c>
      <c r="Q11" s="11">
        <f>15390+37370+1002268</f>
        <v>1055028</v>
      </c>
      <c r="R11" s="11">
        <v>659878</v>
      </c>
      <c r="S11" s="11">
        <v>649507</v>
      </c>
      <c r="T11" s="11">
        <v>1084186</v>
      </c>
      <c r="U11" s="11">
        <v>7520796</v>
      </c>
      <c r="V11" s="11">
        <v>204799</v>
      </c>
      <c r="W11" s="11">
        <f>279758 +15255726+2549228</f>
        <v>18084712</v>
      </c>
      <c r="X11" s="11">
        <f>227062+2241231+6940755</f>
        <v>9409048</v>
      </c>
      <c r="Y11" s="11">
        <v>206905</v>
      </c>
      <c r="Z11" s="11">
        <f>24473+452428+3064463</f>
        <v>3541364</v>
      </c>
      <c r="AA11" s="11">
        <v>1446702</v>
      </c>
      <c r="AB11" s="11">
        <v>68969</v>
      </c>
      <c r="AC11" s="11">
        <v>1908833</v>
      </c>
      <c r="AD11" s="11">
        <v>830333</v>
      </c>
      <c r="AE11" s="11">
        <v>2704766</v>
      </c>
      <c r="AF11" s="11">
        <v>3211644</v>
      </c>
      <c r="AG11" s="39">
        <v>8278765</v>
      </c>
      <c r="AH11" s="11">
        <f>1782+22794+435397</f>
        <v>459973</v>
      </c>
      <c r="AI11" s="12">
        <f>SUM(B11:AH11)</f>
        <v>86762245.299999997</v>
      </c>
    </row>
    <row r="12" spans="1:35" x14ac:dyDescent="0.25">
      <c r="A12" s="3" t="s">
        <v>42</v>
      </c>
      <c r="B12" s="11">
        <f>B13-B11-B10-B9</f>
        <v>29</v>
      </c>
      <c r="C12" s="11">
        <f t="shared" ref="C12:AI12" si="2">C13-C11-C10-C9</f>
        <v>0</v>
      </c>
      <c r="D12" s="11">
        <f t="shared" si="2"/>
        <v>32319</v>
      </c>
      <c r="E12" s="11">
        <f t="shared" si="2"/>
        <v>4638</v>
      </c>
      <c r="F12" s="11">
        <f t="shared" si="2"/>
        <v>-12541</v>
      </c>
      <c r="G12" s="11">
        <f t="shared" si="2"/>
        <v>0</v>
      </c>
      <c r="H12" s="11">
        <f t="shared" si="2"/>
        <v>-29042</v>
      </c>
      <c r="I12" s="11">
        <f t="shared" si="2"/>
        <v>-650598.35000000009</v>
      </c>
      <c r="J12" s="11">
        <f t="shared" si="2"/>
        <v>0</v>
      </c>
      <c r="K12" s="11">
        <f t="shared" si="2"/>
        <v>-1</v>
      </c>
      <c r="L12" s="11">
        <f t="shared" si="2"/>
        <v>0</v>
      </c>
      <c r="M12" s="11">
        <f t="shared" si="2"/>
        <v>0</v>
      </c>
      <c r="N12" s="11">
        <f t="shared" si="2"/>
        <v>0</v>
      </c>
      <c r="O12" s="11">
        <f t="shared" si="2"/>
        <v>0</v>
      </c>
      <c r="P12" s="11">
        <f t="shared" si="2"/>
        <v>234</v>
      </c>
      <c r="Q12" s="11">
        <f t="shared" si="2"/>
        <v>0</v>
      </c>
      <c r="R12" s="11">
        <f t="shared" si="2"/>
        <v>-576</v>
      </c>
      <c r="S12" s="11">
        <f t="shared" si="2"/>
        <v>0</v>
      </c>
      <c r="T12" s="11">
        <f t="shared" si="2"/>
        <v>0</v>
      </c>
      <c r="U12" s="11">
        <f t="shared" si="2"/>
        <v>295873</v>
      </c>
      <c r="V12" s="11">
        <f t="shared" si="2"/>
        <v>6093</v>
      </c>
      <c r="W12" s="11">
        <f t="shared" si="2"/>
        <v>58961</v>
      </c>
      <c r="X12" s="11">
        <f t="shared" si="2"/>
        <v>0</v>
      </c>
      <c r="Y12" s="11">
        <f t="shared" si="2"/>
        <v>0</v>
      </c>
      <c r="Z12" s="11">
        <f t="shared" si="2"/>
        <v>0</v>
      </c>
      <c r="AA12" s="11">
        <f t="shared" si="2"/>
        <v>201927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1659171</v>
      </c>
      <c r="AH12" s="11">
        <f t="shared" si="2"/>
        <v>794</v>
      </c>
      <c r="AI12" s="12">
        <f t="shared" si="2"/>
        <v>1567280.6499999762</v>
      </c>
    </row>
    <row r="13" spans="1:35" s="9" customFormat="1" x14ac:dyDescent="0.25">
      <c r="A13" s="4" t="s">
        <v>40</v>
      </c>
      <c r="B13" s="12">
        <v>510039</v>
      </c>
      <c r="C13" s="12">
        <v>2265111</v>
      </c>
      <c r="D13" s="12">
        <v>848304</v>
      </c>
      <c r="E13" s="12">
        <v>16435778</v>
      </c>
      <c r="F13" s="12">
        <v>4424297</v>
      </c>
      <c r="G13" s="12">
        <f>36685+7204608+272766</f>
        <v>7514059</v>
      </c>
      <c r="H13" s="12">
        <v>638272</v>
      </c>
      <c r="I13" s="12">
        <v>3282695.07</v>
      </c>
      <c r="J13" s="12">
        <v>5084822</v>
      </c>
      <c r="K13" s="12">
        <v>4150063</v>
      </c>
      <c r="L13" s="12">
        <v>10515934</v>
      </c>
      <c r="M13" s="12">
        <v>3564789</v>
      </c>
      <c r="N13" s="12">
        <v>22856840</v>
      </c>
      <c r="O13" s="12">
        <f>121024+10106254+104501</f>
        <v>10331779</v>
      </c>
      <c r="P13" s="12">
        <v>895528</v>
      </c>
      <c r="Q13" s="12">
        <f>32376+64699+2543100</f>
        <v>2640175</v>
      </c>
      <c r="R13" s="12">
        <v>2130726</v>
      </c>
      <c r="S13" s="12">
        <v>1222546</v>
      </c>
      <c r="T13" s="12">
        <v>2245774</v>
      </c>
      <c r="U13" s="12">
        <v>25413655.090962172</v>
      </c>
      <c r="V13" s="12">
        <v>360469</v>
      </c>
      <c r="W13" s="12">
        <f>727828 +51405474+12138272</f>
        <v>64271574</v>
      </c>
      <c r="X13" s="12">
        <f>625039+4443028+21873661</f>
        <v>26941728</v>
      </c>
      <c r="Y13" s="12">
        <v>571110</v>
      </c>
      <c r="Z13" s="12">
        <f>14245+1061032+8530793</f>
        <v>9606070</v>
      </c>
      <c r="AA13" s="12">
        <v>3349572</v>
      </c>
      <c r="AB13" s="12">
        <v>186651</v>
      </c>
      <c r="AC13" s="12">
        <v>8439882</v>
      </c>
      <c r="AD13" s="12">
        <v>4771618</v>
      </c>
      <c r="AE13" s="12">
        <v>9266046</v>
      </c>
      <c r="AF13" s="12">
        <v>11160890</v>
      </c>
      <c r="AG13" s="12">
        <v>32503247</v>
      </c>
      <c r="AH13" s="12">
        <f>3779+239292+2821774</f>
        <v>3064845</v>
      </c>
      <c r="AI13" s="12">
        <f>SUM(B13:AH13)</f>
        <v>301464888.16096216</v>
      </c>
    </row>
    <row r="14" spans="1:35" s="9" customFormat="1" x14ac:dyDescent="0.25">
      <c r="A14" s="4" t="s">
        <v>41</v>
      </c>
      <c r="B14" s="12">
        <f>B8-B13</f>
        <v>-169344</v>
      </c>
      <c r="C14" s="12">
        <f t="shared" ref="C14:AI14" si="3">C8-C13</f>
        <v>-623392</v>
      </c>
      <c r="D14" s="12">
        <f t="shared" si="3"/>
        <v>648496</v>
      </c>
      <c r="E14" s="12">
        <f t="shared" si="3"/>
        <v>4763049</v>
      </c>
      <c r="F14" s="12">
        <f t="shared" si="3"/>
        <v>541404</v>
      </c>
      <c r="G14" s="12">
        <f t="shared" si="3"/>
        <v>2503611</v>
      </c>
      <c r="H14" s="12">
        <f t="shared" si="3"/>
        <v>-231982</v>
      </c>
      <c r="I14" s="12">
        <f t="shared" si="3"/>
        <v>-520156.66999999993</v>
      </c>
      <c r="J14" s="12">
        <f t="shared" si="3"/>
        <v>515485</v>
      </c>
      <c r="K14" s="12">
        <f t="shared" si="3"/>
        <v>276901</v>
      </c>
      <c r="L14" s="12">
        <f t="shared" si="3"/>
        <v>1736634</v>
      </c>
      <c r="M14" s="12">
        <f t="shared" si="3"/>
        <v>-992540</v>
      </c>
      <c r="N14" s="12">
        <f t="shared" si="3"/>
        <v>4439888</v>
      </c>
      <c r="O14" s="12">
        <f t="shared" si="3"/>
        <v>1503054</v>
      </c>
      <c r="P14" s="12">
        <f t="shared" si="3"/>
        <v>86739</v>
      </c>
      <c r="Q14" s="12">
        <f t="shared" si="3"/>
        <v>844837</v>
      </c>
      <c r="R14" s="12">
        <f t="shared" si="3"/>
        <v>186831</v>
      </c>
      <c r="S14" s="12">
        <f t="shared" si="3"/>
        <v>115757</v>
      </c>
      <c r="T14" s="12">
        <f t="shared" si="3"/>
        <v>339669</v>
      </c>
      <c r="U14" s="12">
        <f t="shared" si="3"/>
        <v>3177818.1503156163</v>
      </c>
      <c r="V14" s="12">
        <f t="shared" si="3"/>
        <v>-115819</v>
      </c>
      <c r="W14" s="12">
        <f t="shared" si="3"/>
        <v>1955357</v>
      </c>
      <c r="X14" s="12">
        <f t="shared" si="3"/>
        <v>473263</v>
      </c>
      <c r="Y14" s="12">
        <f t="shared" si="3"/>
        <v>-42041</v>
      </c>
      <c r="Z14" s="12">
        <f t="shared" si="3"/>
        <v>880409</v>
      </c>
      <c r="AA14" s="12">
        <f t="shared" si="3"/>
        <v>108962</v>
      </c>
      <c r="AB14" s="12">
        <f t="shared" si="3"/>
        <v>-52996</v>
      </c>
      <c r="AC14" s="12">
        <f t="shared" si="3"/>
        <v>1463544</v>
      </c>
      <c r="AD14" s="12">
        <f t="shared" si="3"/>
        <v>2576881</v>
      </c>
      <c r="AE14" s="12">
        <f t="shared" si="3"/>
        <v>1874182</v>
      </c>
      <c r="AF14" s="12">
        <f t="shared" si="3"/>
        <v>2352644</v>
      </c>
      <c r="AG14" s="12">
        <f t="shared" si="3"/>
        <v>5434478</v>
      </c>
      <c r="AH14" s="12">
        <f t="shared" si="3"/>
        <v>421569</v>
      </c>
      <c r="AI14" s="12">
        <f t="shared" si="3"/>
        <v>-301464888.16096216</v>
      </c>
    </row>
  </sheetData>
  <pageMargins left="0.7" right="0.7" top="0.75" bottom="0.75" header="0.3" footer="0.3"/>
  <pageSetup paperSize="9" orientation="portrait" r:id="rId1"/>
  <ignoredErrors>
    <ignoredError sqref="AI12 AI6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8.85546875" customWidth="1"/>
    <col min="2" max="34" width="16" customWidth="1"/>
    <col min="35" max="35" width="16" style="5" customWidth="1"/>
  </cols>
  <sheetData>
    <row r="1" spans="1:35" ht="18.75" x14ac:dyDescent="0.3">
      <c r="A1" s="14" t="s">
        <v>302</v>
      </c>
    </row>
    <row r="2" spans="1:35" x14ac:dyDescent="0.25">
      <c r="A2" s="13" t="s">
        <v>44</v>
      </c>
    </row>
    <row r="3" spans="1:35" x14ac:dyDescent="0.25">
      <c r="A3" s="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8</v>
      </c>
      <c r="J3" s="73" t="s">
        <v>9</v>
      </c>
      <c r="K3" s="73" t="s">
        <v>10</v>
      </c>
      <c r="L3" s="73" t="s">
        <v>11</v>
      </c>
      <c r="M3" s="73" t="s">
        <v>293</v>
      </c>
      <c r="N3" s="73" t="s">
        <v>12</v>
      </c>
      <c r="O3" s="73" t="s">
        <v>13</v>
      </c>
      <c r="P3" s="73" t="s">
        <v>14</v>
      </c>
      <c r="Q3" s="73" t="s">
        <v>15</v>
      </c>
      <c r="R3" s="73" t="s">
        <v>16</v>
      </c>
      <c r="S3" s="73" t="s">
        <v>295</v>
      </c>
      <c r="T3" s="73" t="s">
        <v>17</v>
      </c>
      <c r="U3" s="73" t="s">
        <v>18</v>
      </c>
      <c r="V3" s="73" t="s">
        <v>294</v>
      </c>
      <c r="W3" s="73" t="s">
        <v>19</v>
      </c>
      <c r="X3" s="73" t="s">
        <v>20</v>
      </c>
      <c r="Y3" s="73" t="s">
        <v>21</v>
      </c>
      <c r="Z3" s="73" t="s">
        <v>22</v>
      </c>
      <c r="AA3" s="73" t="s">
        <v>23</v>
      </c>
      <c r="AB3" s="73" t="s">
        <v>24</v>
      </c>
      <c r="AC3" s="73" t="s">
        <v>25</v>
      </c>
      <c r="AD3" s="73" t="s">
        <v>26</v>
      </c>
      <c r="AE3" s="73" t="s">
        <v>27</v>
      </c>
      <c r="AF3" s="73" t="s">
        <v>28</v>
      </c>
      <c r="AG3" s="72" t="s">
        <v>29</v>
      </c>
      <c r="AH3" s="73" t="s">
        <v>30</v>
      </c>
      <c r="AI3" s="22" t="s">
        <v>31</v>
      </c>
    </row>
    <row r="4" spans="1:35" x14ac:dyDescent="0.25">
      <c r="A4" s="15" t="s">
        <v>53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40"/>
    </row>
    <row r="5" spans="1:35" x14ac:dyDescent="0.25">
      <c r="A5" s="16" t="s">
        <v>54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40">
        <f t="shared" ref="AI5:AI12" si="0">SUM(B5:AH5)</f>
        <v>0</v>
      </c>
    </row>
    <row r="6" spans="1:35" x14ac:dyDescent="0.25">
      <c r="A6" s="16" t="s">
        <v>55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40">
        <f t="shared" si="0"/>
        <v>0</v>
      </c>
    </row>
    <row r="7" spans="1:35" x14ac:dyDescent="0.25">
      <c r="A7" s="16" t="s">
        <v>56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11"/>
      <c r="U7" s="11">
        <v>233033</v>
      </c>
      <c r="V7" s="11"/>
      <c r="W7" s="11">
        <v>2582311</v>
      </c>
      <c r="X7" s="39"/>
      <c r="Y7" s="39"/>
      <c r="Z7" s="39"/>
      <c r="AA7" s="39"/>
      <c r="AB7" s="39"/>
      <c r="AC7" s="39"/>
      <c r="AD7" s="39"/>
      <c r="AE7" s="39"/>
      <c r="AF7" s="39"/>
      <c r="AG7" s="39">
        <v>1143924</v>
      </c>
      <c r="AH7" s="39"/>
      <c r="AI7" s="40">
        <f t="shared" si="0"/>
        <v>3959268</v>
      </c>
    </row>
    <row r="8" spans="1:35" x14ac:dyDescent="0.25">
      <c r="A8" s="16" t="s">
        <v>57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11"/>
      <c r="U8" s="11"/>
      <c r="V8" s="11"/>
      <c r="W8" s="11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40">
        <f t="shared" si="0"/>
        <v>0</v>
      </c>
    </row>
    <row r="9" spans="1:35" x14ac:dyDescent="0.25">
      <c r="A9" s="16" t="s">
        <v>58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11"/>
      <c r="U9" s="11"/>
      <c r="V9" s="11"/>
      <c r="W9" s="11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40">
        <f t="shared" si="0"/>
        <v>0</v>
      </c>
    </row>
    <row r="10" spans="1:35" x14ac:dyDescent="0.25">
      <c r="A10" s="16" t="s">
        <v>59</v>
      </c>
      <c r="B10" s="39"/>
      <c r="C10" s="39"/>
      <c r="D10" s="39">
        <v>138240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11"/>
      <c r="U10" s="11"/>
      <c r="V10" s="11"/>
      <c r="W10" s="11">
        <v>534652</v>
      </c>
      <c r="X10" s="39">
        <f>1123714+268685</f>
        <v>1392399</v>
      </c>
      <c r="Y10" s="39"/>
      <c r="Z10" s="39"/>
      <c r="AA10" s="39"/>
      <c r="AB10" s="39"/>
      <c r="AC10" s="39"/>
      <c r="AD10" s="39"/>
      <c r="AE10" s="39"/>
      <c r="AF10" s="39"/>
      <c r="AG10" s="39">
        <v>473932</v>
      </c>
      <c r="AH10" s="39"/>
      <c r="AI10" s="40">
        <f t="shared" si="0"/>
        <v>2539223</v>
      </c>
    </row>
    <row r="11" spans="1:35" x14ac:dyDescent="0.25">
      <c r="A11" s="16" t="s">
        <v>60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74">
        <v>44987</v>
      </c>
      <c r="S11" s="39"/>
      <c r="T11" s="11"/>
      <c r="U11" s="11">
        <v>135560</v>
      </c>
      <c r="V11" s="11"/>
      <c r="W11" s="11"/>
      <c r="X11" s="39">
        <v>64299</v>
      </c>
      <c r="Y11" s="39"/>
      <c r="Z11" s="39"/>
      <c r="AA11" s="39"/>
      <c r="AB11" s="39"/>
      <c r="AC11" s="39"/>
      <c r="AD11" s="39"/>
      <c r="AE11" s="39"/>
      <c r="AF11" s="39"/>
      <c r="AG11" s="39">
        <v>120885</v>
      </c>
      <c r="AH11" s="39"/>
      <c r="AI11" s="40">
        <f t="shared" si="0"/>
        <v>365731</v>
      </c>
    </row>
    <row r="12" spans="1:35" s="5" customFormat="1" x14ac:dyDescent="0.25">
      <c r="A12" s="17" t="s">
        <v>52</v>
      </c>
      <c r="B12" s="40">
        <f>SUM(B5:B11)</f>
        <v>0</v>
      </c>
      <c r="C12" s="40">
        <f t="shared" ref="C12:AH12" si="1">SUM(C5:C11)</f>
        <v>0</v>
      </c>
      <c r="D12" s="40">
        <f t="shared" si="1"/>
        <v>138240</v>
      </c>
      <c r="E12" s="40">
        <f t="shared" si="1"/>
        <v>0</v>
      </c>
      <c r="F12" s="40">
        <f t="shared" si="1"/>
        <v>0</v>
      </c>
      <c r="G12" s="40">
        <f t="shared" si="1"/>
        <v>0</v>
      </c>
      <c r="H12" s="40">
        <f t="shared" si="1"/>
        <v>0</v>
      </c>
      <c r="I12" s="40">
        <f t="shared" si="1"/>
        <v>0</v>
      </c>
      <c r="J12" s="40">
        <f t="shared" si="1"/>
        <v>0</v>
      </c>
      <c r="K12" s="40">
        <f t="shared" si="1"/>
        <v>0</v>
      </c>
      <c r="L12" s="40">
        <f t="shared" si="1"/>
        <v>0</v>
      </c>
      <c r="M12" s="40">
        <f t="shared" si="1"/>
        <v>0</v>
      </c>
      <c r="N12" s="40">
        <f t="shared" si="1"/>
        <v>0</v>
      </c>
      <c r="O12" s="40">
        <f t="shared" si="1"/>
        <v>0</v>
      </c>
      <c r="P12" s="40">
        <f t="shared" si="1"/>
        <v>0</v>
      </c>
      <c r="Q12" s="40">
        <f t="shared" si="1"/>
        <v>0</v>
      </c>
      <c r="R12" s="40">
        <f t="shared" si="1"/>
        <v>44987</v>
      </c>
      <c r="S12" s="40">
        <f t="shared" si="1"/>
        <v>0</v>
      </c>
      <c r="T12" s="40">
        <f t="shared" si="1"/>
        <v>0</v>
      </c>
      <c r="U12" s="40">
        <f t="shared" si="1"/>
        <v>368593</v>
      </c>
      <c r="V12" s="40">
        <f t="shared" si="1"/>
        <v>0</v>
      </c>
      <c r="W12" s="40">
        <f t="shared" si="1"/>
        <v>3116963</v>
      </c>
      <c r="X12" s="40">
        <f t="shared" si="1"/>
        <v>1456698</v>
      </c>
      <c r="Y12" s="40">
        <f t="shared" si="1"/>
        <v>0</v>
      </c>
      <c r="Z12" s="40">
        <f t="shared" si="1"/>
        <v>0</v>
      </c>
      <c r="AA12" s="40">
        <f t="shared" si="1"/>
        <v>0</v>
      </c>
      <c r="AB12" s="40">
        <f t="shared" si="1"/>
        <v>0</v>
      </c>
      <c r="AC12" s="40">
        <f t="shared" si="1"/>
        <v>0</v>
      </c>
      <c r="AD12" s="40">
        <f t="shared" si="1"/>
        <v>0</v>
      </c>
      <c r="AE12" s="40">
        <f t="shared" si="1"/>
        <v>0</v>
      </c>
      <c r="AF12" s="40">
        <f t="shared" si="1"/>
        <v>0</v>
      </c>
      <c r="AG12" s="40">
        <f t="shared" si="1"/>
        <v>1738741</v>
      </c>
      <c r="AH12" s="40">
        <f t="shared" si="1"/>
        <v>0</v>
      </c>
      <c r="AI12" s="40">
        <f t="shared" si="0"/>
        <v>6864222</v>
      </c>
    </row>
    <row r="13" spans="1:35" x14ac:dyDescent="0.25">
      <c r="A13" s="15" t="s">
        <v>61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40"/>
    </row>
    <row r="14" spans="1:35" x14ac:dyDescent="0.25">
      <c r="A14" s="16" t="s">
        <v>62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11"/>
      <c r="U14" s="11">
        <v>71330</v>
      </c>
      <c r="V14" s="11"/>
      <c r="W14" s="11">
        <v>285183</v>
      </c>
      <c r="X14" s="39">
        <v>184988</v>
      </c>
      <c r="Y14" s="39"/>
      <c r="Z14" s="39"/>
      <c r="AA14" s="39"/>
      <c r="AB14" s="39"/>
      <c r="AC14" s="39"/>
      <c r="AD14" s="39"/>
      <c r="AE14" s="39"/>
      <c r="AF14" s="39"/>
      <c r="AG14" s="39">
        <v>473932</v>
      </c>
      <c r="AH14" s="39"/>
      <c r="AI14" s="40">
        <f t="shared" ref="AI14:AI19" si="2">SUM(B14:AH14)</f>
        <v>1015433</v>
      </c>
    </row>
    <row r="15" spans="1:35" x14ac:dyDescent="0.25">
      <c r="A15" s="16" t="s">
        <v>63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11"/>
      <c r="U15" s="11"/>
      <c r="V15" s="11"/>
      <c r="W15" s="11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40">
        <f t="shared" si="2"/>
        <v>0</v>
      </c>
    </row>
    <row r="16" spans="1:35" x14ac:dyDescent="0.25">
      <c r="A16" s="16" t="s">
        <v>64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11"/>
      <c r="U16" s="11"/>
      <c r="V16" s="11"/>
      <c r="W16" s="11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40">
        <f t="shared" si="2"/>
        <v>0</v>
      </c>
    </row>
    <row r="17" spans="1:35" x14ac:dyDescent="0.25">
      <c r="A17" s="16" t="s">
        <v>65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11"/>
      <c r="U17" s="11">
        <v>296624</v>
      </c>
      <c r="V17" s="11"/>
      <c r="W17" s="11"/>
      <c r="X17" s="39">
        <v>147996</v>
      </c>
      <c r="Y17" s="39"/>
      <c r="Z17" s="39"/>
      <c r="AA17" s="39"/>
      <c r="AB17" s="39"/>
      <c r="AC17" s="39"/>
      <c r="AD17" s="39"/>
      <c r="AE17" s="39"/>
      <c r="AF17" s="39"/>
      <c r="AG17" s="39">
        <v>171430</v>
      </c>
      <c r="AH17" s="39"/>
      <c r="AI17" s="40">
        <f t="shared" si="2"/>
        <v>616050</v>
      </c>
    </row>
    <row r="18" spans="1:35" x14ac:dyDescent="0.25">
      <c r="A18" s="16" t="s">
        <v>66</v>
      </c>
      <c r="B18" s="39"/>
      <c r="C18" s="39"/>
      <c r="D18" s="39">
        <v>138240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74">
        <v>44987</v>
      </c>
      <c r="S18" s="39"/>
      <c r="T18" s="11"/>
      <c r="U18" s="11">
        <v>639</v>
      </c>
      <c r="V18" s="11"/>
      <c r="W18" s="11">
        <v>2831781</v>
      </c>
      <c r="X18" s="39">
        <v>1123714</v>
      </c>
      <c r="Y18" s="39"/>
      <c r="Z18" s="39"/>
      <c r="AA18" s="39"/>
      <c r="AB18" s="39"/>
      <c r="AC18" s="39"/>
      <c r="AD18" s="39"/>
      <c r="AE18" s="39"/>
      <c r="AF18" s="39"/>
      <c r="AG18" s="39">
        <v>1093379</v>
      </c>
      <c r="AH18" s="39"/>
      <c r="AI18" s="40">
        <f t="shared" si="2"/>
        <v>5232740</v>
      </c>
    </row>
    <row r="19" spans="1:35" s="5" customFormat="1" x14ac:dyDescent="0.25">
      <c r="A19" s="17" t="s">
        <v>52</v>
      </c>
      <c r="B19" s="40">
        <f>SUM(B14:B18)</f>
        <v>0</v>
      </c>
      <c r="C19" s="40">
        <f t="shared" ref="C19:AH19" si="3">SUM(C14:C18)</f>
        <v>0</v>
      </c>
      <c r="D19" s="40">
        <f t="shared" si="3"/>
        <v>138240</v>
      </c>
      <c r="E19" s="40">
        <f t="shared" si="3"/>
        <v>0</v>
      </c>
      <c r="F19" s="40">
        <f t="shared" si="3"/>
        <v>0</v>
      </c>
      <c r="G19" s="40">
        <f t="shared" si="3"/>
        <v>0</v>
      </c>
      <c r="H19" s="40">
        <f t="shared" si="3"/>
        <v>0</v>
      </c>
      <c r="I19" s="40">
        <f t="shared" si="3"/>
        <v>0</v>
      </c>
      <c r="J19" s="40">
        <f t="shared" si="3"/>
        <v>0</v>
      </c>
      <c r="K19" s="40">
        <f t="shared" si="3"/>
        <v>0</v>
      </c>
      <c r="L19" s="40">
        <f t="shared" si="3"/>
        <v>0</v>
      </c>
      <c r="M19" s="40">
        <f t="shared" si="3"/>
        <v>0</v>
      </c>
      <c r="N19" s="40">
        <f t="shared" si="3"/>
        <v>0</v>
      </c>
      <c r="O19" s="40">
        <f t="shared" si="3"/>
        <v>0</v>
      </c>
      <c r="P19" s="40">
        <f t="shared" si="3"/>
        <v>0</v>
      </c>
      <c r="Q19" s="40">
        <f t="shared" si="3"/>
        <v>0</v>
      </c>
      <c r="R19" s="40">
        <f t="shared" si="3"/>
        <v>44987</v>
      </c>
      <c r="S19" s="40">
        <f t="shared" si="3"/>
        <v>0</v>
      </c>
      <c r="T19" s="40">
        <f t="shared" si="3"/>
        <v>0</v>
      </c>
      <c r="U19" s="40">
        <f t="shared" si="3"/>
        <v>368593</v>
      </c>
      <c r="V19" s="40">
        <f t="shared" si="3"/>
        <v>0</v>
      </c>
      <c r="W19" s="40">
        <f t="shared" si="3"/>
        <v>3116964</v>
      </c>
      <c r="X19" s="40">
        <f t="shared" si="3"/>
        <v>1456698</v>
      </c>
      <c r="Y19" s="40">
        <f t="shared" si="3"/>
        <v>0</v>
      </c>
      <c r="Z19" s="40">
        <f t="shared" si="3"/>
        <v>0</v>
      </c>
      <c r="AA19" s="40">
        <f t="shared" si="3"/>
        <v>0</v>
      </c>
      <c r="AB19" s="40">
        <f t="shared" si="3"/>
        <v>0</v>
      </c>
      <c r="AC19" s="40">
        <f t="shared" si="3"/>
        <v>0</v>
      </c>
      <c r="AD19" s="40">
        <f t="shared" si="3"/>
        <v>0</v>
      </c>
      <c r="AE19" s="40">
        <f t="shared" si="3"/>
        <v>0</v>
      </c>
      <c r="AF19" s="40">
        <f t="shared" si="3"/>
        <v>0</v>
      </c>
      <c r="AG19" s="40">
        <f t="shared" si="3"/>
        <v>1738741</v>
      </c>
      <c r="AH19" s="40">
        <f t="shared" si="3"/>
        <v>0</v>
      </c>
      <c r="AI19" s="40">
        <f t="shared" si="2"/>
        <v>6864223</v>
      </c>
    </row>
    <row r="20" spans="1:35" x14ac:dyDescent="0.25">
      <c r="A20" s="15" t="s">
        <v>67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40"/>
    </row>
    <row r="21" spans="1:35" x14ac:dyDescent="0.25">
      <c r="A21" s="16" t="s">
        <v>68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40">
        <f t="shared" ref="AI21:AI28" si="4">SUM(B21:AH21)</f>
        <v>0</v>
      </c>
    </row>
    <row r="22" spans="1:35" x14ac:dyDescent="0.25">
      <c r="A22" s="16" t="s">
        <v>56</v>
      </c>
      <c r="B22" s="39"/>
      <c r="C22" s="39"/>
      <c r="D22" s="39">
        <v>138240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74">
        <v>44987</v>
      </c>
      <c r="S22" s="39"/>
      <c r="T22" s="11"/>
      <c r="U22" s="11">
        <v>78290</v>
      </c>
      <c r="V22" s="11"/>
      <c r="W22" s="11">
        <v>3116964</v>
      </c>
      <c r="X22" s="39">
        <v>1314138</v>
      </c>
      <c r="Y22" s="39"/>
      <c r="Z22" s="39"/>
      <c r="AA22" s="39"/>
      <c r="AB22" s="39"/>
      <c r="AC22" s="39"/>
      <c r="AD22" s="39"/>
      <c r="AE22" s="39"/>
      <c r="AF22" s="39"/>
      <c r="AG22" s="39">
        <v>1564654</v>
      </c>
      <c r="AH22" s="39"/>
      <c r="AI22" s="40">
        <f t="shared" si="4"/>
        <v>6257273</v>
      </c>
    </row>
    <row r="23" spans="1:35" x14ac:dyDescent="0.25">
      <c r="A23" s="16" t="s">
        <v>57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40">
        <f t="shared" si="4"/>
        <v>0</v>
      </c>
    </row>
    <row r="24" spans="1:35" x14ac:dyDescent="0.25">
      <c r="A24" s="16" t="s">
        <v>69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40">
        <f t="shared" si="4"/>
        <v>0</v>
      </c>
    </row>
    <row r="25" spans="1:35" x14ac:dyDescent="0.25">
      <c r="A25" s="16" t="s">
        <v>56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>
        <v>290303</v>
      </c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>
        <v>174087</v>
      </c>
      <c r="AH25" s="39"/>
      <c r="AI25" s="40">
        <f t="shared" si="4"/>
        <v>464390</v>
      </c>
    </row>
    <row r="26" spans="1:35" x14ac:dyDescent="0.25">
      <c r="A26" s="16" t="s">
        <v>57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40">
        <f t="shared" si="4"/>
        <v>0</v>
      </c>
    </row>
    <row r="27" spans="1:35" x14ac:dyDescent="0.25">
      <c r="A27" s="16" t="s">
        <v>70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>
        <v>142560</v>
      </c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40">
        <f t="shared" si="4"/>
        <v>142560</v>
      </c>
    </row>
    <row r="28" spans="1:35" s="5" customFormat="1" x14ac:dyDescent="0.25">
      <c r="A28" s="17" t="s">
        <v>52</v>
      </c>
      <c r="B28" s="40">
        <f>SUM(B21:B27)</f>
        <v>0</v>
      </c>
      <c r="C28" s="40">
        <f t="shared" ref="C28:AH28" si="5">SUM(C21:C27)</f>
        <v>0</v>
      </c>
      <c r="D28" s="40">
        <f t="shared" si="5"/>
        <v>138240</v>
      </c>
      <c r="E28" s="40">
        <f t="shared" si="5"/>
        <v>0</v>
      </c>
      <c r="F28" s="40">
        <f t="shared" si="5"/>
        <v>0</v>
      </c>
      <c r="G28" s="40">
        <f t="shared" si="5"/>
        <v>0</v>
      </c>
      <c r="H28" s="40">
        <f t="shared" si="5"/>
        <v>0</v>
      </c>
      <c r="I28" s="40">
        <f t="shared" si="5"/>
        <v>0</v>
      </c>
      <c r="J28" s="40">
        <f t="shared" si="5"/>
        <v>0</v>
      </c>
      <c r="K28" s="40">
        <f t="shared" si="5"/>
        <v>0</v>
      </c>
      <c r="L28" s="40">
        <f t="shared" si="5"/>
        <v>0</v>
      </c>
      <c r="M28" s="40">
        <f t="shared" si="5"/>
        <v>0</v>
      </c>
      <c r="N28" s="40">
        <f t="shared" si="5"/>
        <v>0</v>
      </c>
      <c r="O28" s="40">
        <f t="shared" si="5"/>
        <v>0</v>
      </c>
      <c r="P28" s="40">
        <f t="shared" si="5"/>
        <v>0</v>
      </c>
      <c r="Q28" s="40">
        <f t="shared" si="5"/>
        <v>0</v>
      </c>
      <c r="R28" s="40">
        <f t="shared" si="5"/>
        <v>44987</v>
      </c>
      <c r="S28" s="40">
        <f t="shared" si="5"/>
        <v>0</v>
      </c>
      <c r="T28" s="40">
        <f t="shared" si="5"/>
        <v>0</v>
      </c>
      <c r="U28" s="40">
        <f t="shared" si="5"/>
        <v>368593</v>
      </c>
      <c r="V28" s="40">
        <f t="shared" si="5"/>
        <v>0</v>
      </c>
      <c r="W28" s="40">
        <f t="shared" si="5"/>
        <v>3116964</v>
      </c>
      <c r="X28" s="40">
        <f t="shared" si="5"/>
        <v>1456698</v>
      </c>
      <c r="Y28" s="40">
        <f t="shared" si="5"/>
        <v>0</v>
      </c>
      <c r="Z28" s="40">
        <f t="shared" si="5"/>
        <v>0</v>
      </c>
      <c r="AA28" s="40">
        <f t="shared" si="5"/>
        <v>0</v>
      </c>
      <c r="AB28" s="40">
        <f t="shared" si="5"/>
        <v>0</v>
      </c>
      <c r="AC28" s="40">
        <f t="shared" si="5"/>
        <v>0</v>
      </c>
      <c r="AD28" s="40">
        <f t="shared" si="5"/>
        <v>0</v>
      </c>
      <c r="AE28" s="40">
        <f t="shared" si="5"/>
        <v>0</v>
      </c>
      <c r="AF28" s="40">
        <f t="shared" si="5"/>
        <v>0</v>
      </c>
      <c r="AG28" s="40">
        <f t="shared" si="5"/>
        <v>1738741</v>
      </c>
      <c r="AH28" s="40">
        <f t="shared" si="5"/>
        <v>0</v>
      </c>
      <c r="AI28" s="40">
        <f t="shared" si="4"/>
        <v>6864223</v>
      </c>
    </row>
    <row r="29" spans="1:35" x14ac:dyDescent="0.25">
      <c r="A29" s="15" t="s">
        <v>71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40"/>
    </row>
    <row r="30" spans="1:35" x14ac:dyDescent="0.25">
      <c r="A30" s="16" t="s">
        <v>72</v>
      </c>
      <c r="B30" s="39"/>
      <c r="C30" s="39"/>
      <c r="D30" s="39">
        <v>11187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11"/>
      <c r="U30" s="11">
        <v>1072</v>
      </c>
      <c r="V30" s="11"/>
      <c r="W30" s="11">
        <v>62748</v>
      </c>
      <c r="X30" s="39">
        <v>45520</v>
      </c>
      <c r="Y30" s="39"/>
      <c r="Z30" s="39"/>
      <c r="AA30" s="39"/>
      <c r="AB30" s="39"/>
      <c r="AC30" s="39"/>
      <c r="AD30" s="39"/>
      <c r="AE30" s="39"/>
      <c r="AF30" s="39"/>
      <c r="AG30" s="39">
        <v>92079</v>
      </c>
      <c r="AH30" s="39"/>
      <c r="AI30" s="40">
        <f>SUM(B30:AH30)</f>
        <v>212606</v>
      </c>
    </row>
    <row r="31" spans="1:35" x14ac:dyDescent="0.25">
      <c r="A31" s="16" t="s">
        <v>73</v>
      </c>
      <c r="B31" s="39"/>
      <c r="C31" s="39"/>
      <c r="D31" s="39">
        <v>127053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74">
        <v>44987</v>
      </c>
      <c r="S31" s="39"/>
      <c r="T31" s="11"/>
      <c r="U31" s="11">
        <v>367521</v>
      </c>
      <c r="V31" s="11"/>
      <c r="W31" s="11">
        <v>3054216</v>
      </c>
      <c r="X31" s="39">
        <v>1411178</v>
      </c>
      <c r="Y31" s="39"/>
      <c r="Z31" s="39"/>
      <c r="AA31" s="39"/>
      <c r="AB31" s="39"/>
      <c r="AC31" s="39"/>
      <c r="AD31" s="39"/>
      <c r="AE31" s="39"/>
      <c r="AF31" s="39"/>
      <c r="AG31" s="39">
        <v>1646662</v>
      </c>
      <c r="AH31" s="39"/>
      <c r="AI31" s="40">
        <f>SUM(B31:AH31)</f>
        <v>6651617</v>
      </c>
    </row>
    <row r="32" spans="1:35" s="5" customFormat="1" x14ac:dyDescent="0.25">
      <c r="A32" s="17" t="s">
        <v>52</v>
      </c>
      <c r="B32" s="40">
        <f>SUM(B30:B31)</f>
        <v>0</v>
      </c>
      <c r="C32" s="40">
        <f t="shared" ref="C32:AH32" si="6">SUM(C30:C31)</f>
        <v>0</v>
      </c>
      <c r="D32" s="40">
        <f t="shared" si="6"/>
        <v>138240</v>
      </c>
      <c r="E32" s="40">
        <f t="shared" si="6"/>
        <v>0</v>
      </c>
      <c r="F32" s="40">
        <f t="shared" si="6"/>
        <v>0</v>
      </c>
      <c r="G32" s="40">
        <f t="shared" si="6"/>
        <v>0</v>
      </c>
      <c r="H32" s="40">
        <f t="shared" si="6"/>
        <v>0</v>
      </c>
      <c r="I32" s="40">
        <f t="shared" si="6"/>
        <v>0</v>
      </c>
      <c r="J32" s="40">
        <f t="shared" si="6"/>
        <v>0</v>
      </c>
      <c r="K32" s="40">
        <f t="shared" si="6"/>
        <v>0</v>
      </c>
      <c r="L32" s="40">
        <f t="shared" si="6"/>
        <v>0</v>
      </c>
      <c r="M32" s="40">
        <f t="shared" si="6"/>
        <v>0</v>
      </c>
      <c r="N32" s="40">
        <f t="shared" si="6"/>
        <v>0</v>
      </c>
      <c r="O32" s="40">
        <f t="shared" si="6"/>
        <v>0</v>
      </c>
      <c r="P32" s="40">
        <f t="shared" si="6"/>
        <v>0</v>
      </c>
      <c r="Q32" s="40">
        <f t="shared" si="6"/>
        <v>0</v>
      </c>
      <c r="R32" s="40">
        <f t="shared" si="6"/>
        <v>44987</v>
      </c>
      <c r="S32" s="40">
        <f t="shared" si="6"/>
        <v>0</v>
      </c>
      <c r="T32" s="40">
        <f t="shared" si="6"/>
        <v>0</v>
      </c>
      <c r="U32" s="40">
        <f t="shared" si="6"/>
        <v>368593</v>
      </c>
      <c r="V32" s="40">
        <f t="shared" si="6"/>
        <v>0</v>
      </c>
      <c r="W32" s="40">
        <f t="shared" si="6"/>
        <v>3116964</v>
      </c>
      <c r="X32" s="40">
        <f t="shared" si="6"/>
        <v>1456698</v>
      </c>
      <c r="Y32" s="40">
        <f t="shared" si="6"/>
        <v>0</v>
      </c>
      <c r="Z32" s="40">
        <f t="shared" si="6"/>
        <v>0</v>
      </c>
      <c r="AA32" s="40">
        <f t="shared" si="6"/>
        <v>0</v>
      </c>
      <c r="AB32" s="40">
        <f t="shared" si="6"/>
        <v>0</v>
      </c>
      <c r="AC32" s="40">
        <f t="shared" si="6"/>
        <v>0</v>
      </c>
      <c r="AD32" s="40">
        <f t="shared" si="6"/>
        <v>0</v>
      </c>
      <c r="AE32" s="40">
        <f t="shared" si="6"/>
        <v>0</v>
      </c>
      <c r="AF32" s="40">
        <f t="shared" si="6"/>
        <v>0</v>
      </c>
      <c r="AG32" s="40">
        <f t="shared" si="6"/>
        <v>1738741</v>
      </c>
      <c r="AH32" s="40">
        <f t="shared" si="6"/>
        <v>0</v>
      </c>
      <c r="AI32" s="40">
        <f>SUM(B32:AH32)</f>
        <v>6864223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8" customWidth="1"/>
    <col min="2" max="34" width="16" style="8" customWidth="1"/>
    <col min="35" max="35" width="16" style="9" customWidth="1"/>
    <col min="36" max="16384" width="9.140625" style="8"/>
  </cols>
  <sheetData>
    <row r="1" spans="1:35" ht="18.75" x14ac:dyDescent="0.3">
      <c r="A1" s="18" t="s">
        <v>303</v>
      </c>
    </row>
    <row r="2" spans="1:35" x14ac:dyDescent="0.25">
      <c r="A2" s="7" t="s">
        <v>44</v>
      </c>
    </row>
    <row r="3" spans="1:35" x14ac:dyDescent="0.25">
      <c r="A3" s="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8</v>
      </c>
      <c r="J3" s="73" t="s">
        <v>9</v>
      </c>
      <c r="K3" s="73" t="s">
        <v>10</v>
      </c>
      <c r="L3" s="73" t="s">
        <v>11</v>
      </c>
      <c r="M3" s="73" t="s">
        <v>293</v>
      </c>
      <c r="N3" s="73" t="s">
        <v>12</v>
      </c>
      <c r="O3" s="73" t="s">
        <v>13</v>
      </c>
      <c r="P3" s="73" t="s">
        <v>14</v>
      </c>
      <c r="Q3" s="73" t="s">
        <v>15</v>
      </c>
      <c r="R3" s="73" t="s">
        <v>16</v>
      </c>
      <c r="S3" s="73" t="s">
        <v>295</v>
      </c>
      <c r="T3" s="73" t="s">
        <v>17</v>
      </c>
      <c r="U3" s="73" t="s">
        <v>18</v>
      </c>
      <c r="V3" s="73" t="s">
        <v>294</v>
      </c>
      <c r="W3" s="73" t="s">
        <v>19</v>
      </c>
      <c r="X3" s="73" t="s">
        <v>20</v>
      </c>
      <c r="Y3" s="73" t="s">
        <v>21</v>
      </c>
      <c r="Z3" s="73" t="s">
        <v>22</v>
      </c>
      <c r="AA3" s="73" t="s">
        <v>23</v>
      </c>
      <c r="AB3" s="73" t="s">
        <v>24</v>
      </c>
      <c r="AC3" s="73" t="s">
        <v>25</v>
      </c>
      <c r="AD3" s="73" t="s">
        <v>26</v>
      </c>
      <c r="AE3" s="73" t="s">
        <v>27</v>
      </c>
      <c r="AF3" s="73" t="s">
        <v>28</v>
      </c>
      <c r="AG3" s="72" t="s">
        <v>29</v>
      </c>
      <c r="AH3" s="73" t="s">
        <v>30</v>
      </c>
      <c r="AI3" s="46" t="s">
        <v>31</v>
      </c>
    </row>
    <row r="4" spans="1:35" x14ac:dyDescent="0.25">
      <c r="A4" s="3" t="s">
        <v>74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2">
        <f t="shared" ref="AI4:AI19" si="0">SUM(B4:AH4)</f>
        <v>0</v>
      </c>
    </row>
    <row r="5" spans="1:35" x14ac:dyDescent="0.25">
      <c r="A5" s="3" t="s">
        <v>75</v>
      </c>
      <c r="B5" s="11">
        <v>49296</v>
      </c>
      <c r="C5" s="11">
        <v>525934</v>
      </c>
      <c r="D5" s="11">
        <v>849478</v>
      </c>
      <c r="E5" s="11">
        <v>419197</v>
      </c>
      <c r="F5" s="11">
        <v>44647</v>
      </c>
      <c r="G5" s="11">
        <v>157854</v>
      </c>
      <c r="H5" s="11">
        <v>85792</v>
      </c>
      <c r="I5" s="11">
        <v>11611.08</v>
      </c>
      <c r="J5" s="11">
        <v>31546</v>
      </c>
      <c r="K5" s="11">
        <v>16006</v>
      </c>
      <c r="L5" s="11">
        <v>384534</v>
      </c>
      <c r="M5" s="11">
        <v>163431</v>
      </c>
      <c r="N5" s="11"/>
      <c r="O5" s="11">
        <v>137812</v>
      </c>
      <c r="P5" s="11">
        <v>29974</v>
      </c>
      <c r="Q5" s="11">
        <v>136128</v>
      </c>
      <c r="R5" s="11">
        <v>189281</v>
      </c>
      <c r="S5" s="11">
        <v>28004</v>
      </c>
      <c r="T5" s="11">
        <v>241415</v>
      </c>
      <c r="U5" s="11"/>
      <c r="V5" s="11">
        <v>331170</v>
      </c>
      <c r="W5" s="11">
        <v>337145</v>
      </c>
      <c r="X5" s="11">
        <v>88149</v>
      </c>
      <c r="Y5" s="11">
        <v>5734</v>
      </c>
      <c r="Z5" s="11">
        <v>108956</v>
      </c>
      <c r="AA5" s="11">
        <v>305390</v>
      </c>
      <c r="AB5" s="11">
        <v>107676</v>
      </c>
      <c r="AC5" s="11">
        <v>442393</v>
      </c>
      <c r="AD5" s="11">
        <v>18444</v>
      </c>
      <c r="AE5" s="11">
        <v>218007</v>
      </c>
      <c r="AF5" s="11">
        <v>731965</v>
      </c>
      <c r="AG5" s="11">
        <v>1621</v>
      </c>
      <c r="AH5" s="11">
        <v>38494</v>
      </c>
      <c r="AI5" s="12">
        <f t="shared" si="0"/>
        <v>6237084.0800000001</v>
      </c>
    </row>
    <row r="6" spans="1:35" x14ac:dyDescent="0.25">
      <c r="A6" s="3" t="s">
        <v>76</v>
      </c>
      <c r="B6" s="11"/>
      <c r="C6" s="11"/>
      <c r="D6" s="11"/>
      <c r="E6" s="11">
        <v>846212</v>
      </c>
      <c r="F6" s="11"/>
      <c r="G6" s="11"/>
      <c r="H6" s="11"/>
      <c r="I6" s="11">
        <v>748152.33</v>
      </c>
      <c r="J6" s="11"/>
      <c r="K6" s="11"/>
      <c r="L6" s="11"/>
      <c r="M6" s="11"/>
      <c r="N6" s="11">
        <v>2461680</v>
      </c>
      <c r="O6" s="11">
        <v>37849</v>
      </c>
      <c r="P6" s="11"/>
      <c r="Q6" s="11"/>
      <c r="R6" s="11"/>
      <c r="S6" s="11"/>
      <c r="T6" s="11"/>
      <c r="U6" s="11"/>
      <c r="V6" s="11"/>
      <c r="W6" s="11">
        <v>136860</v>
      </c>
      <c r="X6" s="11">
        <v>59546</v>
      </c>
      <c r="Y6" s="11"/>
      <c r="Z6" s="11"/>
      <c r="AA6" s="11"/>
      <c r="AB6" s="11"/>
      <c r="AC6" s="11"/>
      <c r="AD6" s="11"/>
      <c r="AE6" s="11">
        <v>11600</v>
      </c>
      <c r="AF6" s="11">
        <v>49236</v>
      </c>
      <c r="AG6" s="11">
        <v>131793</v>
      </c>
      <c r="AH6" s="11"/>
      <c r="AI6" s="12">
        <f t="shared" si="0"/>
        <v>4482928.33</v>
      </c>
    </row>
    <row r="7" spans="1:35" x14ac:dyDescent="0.25">
      <c r="A7" s="3" t="s">
        <v>77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>
        <v>2411770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>
        <v>210795</v>
      </c>
      <c r="AE7" s="11"/>
      <c r="AF7" s="11"/>
      <c r="AG7" s="11">
        <v>22149</v>
      </c>
      <c r="AH7" s="11"/>
      <c r="AI7" s="12">
        <f t="shared" si="0"/>
        <v>2644714</v>
      </c>
    </row>
    <row r="8" spans="1:35" x14ac:dyDescent="0.25">
      <c r="A8" s="3" t="s">
        <v>78</v>
      </c>
      <c r="B8" s="11">
        <v>52</v>
      </c>
      <c r="C8" s="11"/>
      <c r="D8" s="11">
        <v>928855</v>
      </c>
      <c r="E8" s="11">
        <v>36851</v>
      </c>
      <c r="F8" s="11">
        <v>15503</v>
      </c>
      <c r="G8" s="11">
        <v>58032</v>
      </c>
      <c r="H8" s="11"/>
      <c r="I8" s="11">
        <v>53456.14</v>
      </c>
      <c r="J8" s="11">
        <v>29452</v>
      </c>
      <c r="K8" s="11">
        <v>46361</v>
      </c>
      <c r="L8" s="11">
        <v>38774</v>
      </c>
      <c r="M8" s="11"/>
      <c r="N8" s="11"/>
      <c r="O8" s="11"/>
      <c r="P8" s="11">
        <v>707</v>
      </c>
      <c r="Q8" s="11"/>
      <c r="R8" s="11">
        <v>16481</v>
      </c>
      <c r="S8" s="11">
        <v>9300</v>
      </c>
      <c r="T8" s="11">
        <v>18590</v>
      </c>
      <c r="U8" s="11"/>
      <c r="V8" s="11">
        <v>28090</v>
      </c>
      <c r="W8" s="11">
        <v>287168</v>
      </c>
      <c r="X8" s="11">
        <v>308170</v>
      </c>
      <c r="Y8" s="11">
        <v>9863</v>
      </c>
      <c r="Z8" s="11">
        <v>18908</v>
      </c>
      <c r="AA8" s="11">
        <v>12680</v>
      </c>
      <c r="AB8" s="11">
        <v>55544</v>
      </c>
      <c r="AC8" s="11">
        <v>128324</v>
      </c>
      <c r="AD8" s="11">
        <v>11642</v>
      </c>
      <c r="AE8" s="11"/>
      <c r="AF8" s="11">
        <v>60813</v>
      </c>
      <c r="AG8" s="11">
        <v>189244</v>
      </c>
      <c r="AH8" s="11"/>
      <c r="AI8" s="12">
        <f t="shared" si="0"/>
        <v>2362860.1399999997</v>
      </c>
    </row>
    <row r="9" spans="1:35" x14ac:dyDescent="0.25">
      <c r="A9" s="3" t="s">
        <v>79</v>
      </c>
      <c r="B9" s="11"/>
      <c r="C9" s="11"/>
      <c r="D9" s="11">
        <v>279104</v>
      </c>
      <c r="E9" s="11">
        <v>2248357</v>
      </c>
      <c r="F9" s="11"/>
      <c r="G9" s="11">
        <v>313989</v>
      </c>
      <c r="H9" s="11"/>
      <c r="I9" s="11">
        <v>282418.59000000003</v>
      </c>
      <c r="J9" s="11"/>
      <c r="K9" s="11"/>
      <c r="L9" s="11">
        <v>1127184</v>
      </c>
      <c r="M9" s="11"/>
      <c r="N9" s="11">
        <v>388620</v>
      </c>
      <c r="O9" s="11">
        <v>10187</v>
      </c>
      <c r="P9" s="11"/>
      <c r="Q9" s="11"/>
      <c r="R9" s="11"/>
      <c r="S9" s="11"/>
      <c r="T9" s="11"/>
      <c r="U9" s="11">
        <v>780423</v>
      </c>
      <c r="V9" s="11"/>
      <c r="W9" s="11">
        <v>1234060</v>
      </c>
      <c r="X9" s="11">
        <v>556860</v>
      </c>
      <c r="Y9" s="11"/>
      <c r="Z9" s="11"/>
      <c r="AA9" s="11"/>
      <c r="AB9" s="11"/>
      <c r="AC9" s="11"/>
      <c r="AD9" s="11">
        <v>145300</v>
      </c>
      <c r="AE9" s="11">
        <v>63852</v>
      </c>
      <c r="AF9" s="11">
        <v>769990</v>
      </c>
      <c r="AG9" s="11">
        <v>357993</v>
      </c>
      <c r="AH9" s="11">
        <v>392</v>
      </c>
      <c r="AI9" s="12">
        <f t="shared" si="0"/>
        <v>8558729.5899999999</v>
      </c>
    </row>
    <row r="10" spans="1:35" x14ac:dyDescent="0.25">
      <c r="A10" s="3" t="s">
        <v>80</v>
      </c>
      <c r="B10" s="11">
        <v>649</v>
      </c>
      <c r="C10" s="11">
        <v>5403</v>
      </c>
      <c r="D10" s="11">
        <v>57231</v>
      </c>
      <c r="E10" s="11">
        <v>120826</v>
      </c>
      <c r="F10" s="11">
        <v>9504</v>
      </c>
      <c r="G10" s="11">
        <v>5403</v>
      </c>
      <c r="H10" s="11">
        <v>2393</v>
      </c>
      <c r="I10" s="11">
        <v>30975.77</v>
      </c>
      <c r="J10" s="11">
        <v>9010</v>
      </c>
      <c r="K10" s="11">
        <v>12386</v>
      </c>
      <c r="L10" s="11">
        <v>163331</v>
      </c>
      <c r="M10" s="11">
        <v>16546</v>
      </c>
      <c r="N10" s="11">
        <v>463321</v>
      </c>
      <c r="O10" s="11">
        <v>180162</v>
      </c>
      <c r="P10" s="11">
        <v>25</v>
      </c>
      <c r="Q10" s="11">
        <v>925</v>
      </c>
      <c r="R10" s="11">
        <v>752</v>
      </c>
      <c r="S10" s="11">
        <v>3901</v>
      </c>
      <c r="T10" s="11">
        <v>6984</v>
      </c>
      <c r="U10" s="11">
        <v>102009.7460440484</v>
      </c>
      <c r="V10" s="11">
        <v>6867</v>
      </c>
      <c r="W10" s="11">
        <v>311186</v>
      </c>
      <c r="X10" s="11">
        <v>90492</v>
      </c>
      <c r="Y10" s="11">
        <v>4224</v>
      </c>
      <c r="Z10" s="11">
        <v>20263</v>
      </c>
      <c r="AA10" s="11">
        <v>386</v>
      </c>
      <c r="AB10" s="11">
        <v>10561</v>
      </c>
      <c r="AC10" s="11">
        <v>19651</v>
      </c>
      <c r="AD10" s="11">
        <v>40404</v>
      </c>
      <c r="AE10" s="11">
        <v>139985</v>
      </c>
      <c r="AF10" s="11">
        <v>13852</v>
      </c>
      <c r="AG10" s="11">
        <v>61133</v>
      </c>
      <c r="AH10" s="11">
        <v>15303</v>
      </c>
      <c r="AI10" s="12">
        <f t="shared" si="0"/>
        <v>1926044.5160440484</v>
      </c>
    </row>
    <row r="11" spans="1:35" x14ac:dyDescent="0.25">
      <c r="A11" s="3" t="s">
        <v>81</v>
      </c>
      <c r="B11" s="11">
        <v>12379</v>
      </c>
      <c r="C11" s="11">
        <v>91784</v>
      </c>
      <c r="D11" s="11">
        <v>302868</v>
      </c>
      <c r="E11" s="11">
        <v>334741</v>
      </c>
      <c r="F11" s="11">
        <v>81379</v>
      </c>
      <c r="G11" s="11">
        <v>72046</v>
      </c>
      <c r="H11" s="11">
        <v>4050</v>
      </c>
      <c r="I11" s="11">
        <v>25759.47</v>
      </c>
      <c r="J11" s="11">
        <v>86186</v>
      </c>
      <c r="K11" s="11">
        <v>97457</v>
      </c>
      <c r="L11" s="11">
        <v>288886</v>
      </c>
      <c r="M11" s="11">
        <v>74656</v>
      </c>
      <c r="N11" s="11">
        <v>211081</v>
      </c>
      <c r="O11" s="11">
        <v>118704</v>
      </c>
      <c r="P11" s="11">
        <v>20900</v>
      </c>
      <c r="Q11" s="11">
        <v>54323</v>
      </c>
      <c r="R11" s="11">
        <v>30026</v>
      </c>
      <c r="S11" s="11">
        <v>92985</v>
      </c>
      <c r="T11" s="11">
        <v>68361</v>
      </c>
      <c r="U11" s="11">
        <f>118670+599678</f>
        <v>718348</v>
      </c>
      <c r="V11" s="11">
        <v>118622</v>
      </c>
      <c r="W11" s="11">
        <v>887727</v>
      </c>
      <c r="X11" s="11">
        <v>585766</v>
      </c>
      <c r="Y11" s="11">
        <v>10731</v>
      </c>
      <c r="Z11" s="11">
        <v>85112</v>
      </c>
      <c r="AA11" s="11">
        <v>160287</v>
      </c>
      <c r="AB11" s="11">
        <v>108809</v>
      </c>
      <c r="AC11" s="11">
        <v>323739</v>
      </c>
      <c r="AD11" s="11">
        <v>32731</v>
      </c>
      <c r="AE11" s="11">
        <v>217327</v>
      </c>
      <c r="AF11" s="11">
        <v>318989</v>
      </c>
      <c r="AG11" s="11">
        <v>185311</v>
      </c>
      <c r="AH11" s="11">
        <v>297226</v>
      </c>
      <c r="AI11" s="12">
        <f t="shared" si="0"/>
        <v>6119296.4699999997</v>
      </c>
    </row>
    <row r="12" spans="1:35" x14ac:dyDescent="0.25">
      <c r="A12" s="3" t="s">
        <v>82</v>
      </c>
      <c r="B12" s="11"/>
      <c r="C12" s="11">
        <v>9684</v>
      </c>
      <c r="D12" s="11">
        <v>13586</v>
      </c>
      <c r="E12" s="11">
        <v>47756</v>
      </c>
      <c r="F12" s="11"/>
      <c r="G12" s="11">
        <v>18015</v>
      </c>
      <c r="H12" s="11"/>
      <c r="I12" s="11">
        <v>1660.65</v>
      </c>
      <c r="J12" s="11">
        <v>1358</v>
      </c>
      <c r="K12" s="11"/>
      <c r="L12" s="11">
        <v>98113</v>
      </c>
      <c r="M12" s="11">
        <v>3869</v>
      </c>
      <c r="N12" s="11">
        <v>78598</v>
      </c>
      <c r="O12" s="11">
        <v>17094</v>
      </c>
      <c r="P12" s="11">
        <v>19075</v>
      </c>
      <c r="Q12" s="11">
        <v>2756</v>
      </c>
      <c r="R12" s="11">
        <v>5752</v>
      </c>
      <c r="S12" s="11"/>
      <c r="T12" s="11">
        <v>22518</v>
      </c>
      <c r="U12" s="11">
        <v>487871</v>
      </c>
      <c r="V12" s="11"/>
      <c r="W12" s="11">
        <v>1031092</v>
      </c>
      <c r="X12" s="11">
        <v>514211</v>
      </c>
      <c r="Y12" s="11"/>
      <c r="Z12" s="11">
        <v>9681</v>
      </c>
      <c r="AA12" s="11"/>
      <c r="AB12" s="11">
        <v>3289</v>
      </c>
      <c r="AC12" s="11">
        <v>534</v>
      </c>
      <c r="AD12" s="11">
        <v>259</v>
      </c>
      <c r="AE12" s="11">
        <v>25523</v>
      </c>
      <c r="AF12" s="11">
        <v>35783</v>
      </c>
      <c r="AG12" s="11">
        <v>419575</v>
      </c>
      <c r="AH12" s="11">
        <v>9550</v>
      </c>
      <c r="AI12" s="12">
        <f t="shared" si="0"/>
        <v>2877202.65</v>
      </c>
    </row>
    <row r="13" spans="1:35" x14ac:dyDescent="0.25">
      <c r="A13" s="3" t="s">
        <v>83</v>
      </c>
      <c r="B13" s="11">
        <v>1774</v>
      </c>
      <c r="C13" s="11">
        <v>26194</v>
      </c>
      <c r="D13" s="11">
        <v>6135</v>
      </c>
      <c r="E13" s="11">
        <v>69927</v>
      </c>
      <c r="F13" s="11">
        <v>8545</v>
      </c>
      <c r="G13" s="11">
        <v>7442</v>
      </c>
      <c r="H13" s="11">
        <v>1790</v>
      </c>
      <c r="I13" s="11">
        <v>12728.48</v>
      </c>
      <c r="J13" s="11">
        <v>19208</v>
      </c>
      <c r="K13" s="11">
        <v>35536</v>
      </c>
      <c r="L13" s="11">
        <v>47128</v>
      </c>
      <c r="M13" s="11">
        <v>11606</v>
      </c>
      <c r="N13" s="11">
        <v>486022</v>
      </c>
      <c r="O13" s="11">
        <v>30257</v>
      </c>
      <c r="P13" s="11">
        <v>1112</v>
      </c>
      <c r="Q13" s="11">
        <v>13967</v>
      </c>
      <c r="R13" s="11">
        <v>1107</v>
      </c>
      <c r="S13" s="11">
        <v>6593</v>
      </c>
      <c r="T13" s="11"/>
      <c r="U13" s="11">
        <v>17207</v>
      </c>
      <c r="V13" s="11">
        <v>7463</v>
      </c>
      <c r="W13" s="11">
        <v>22220</v>
      </c>
      <c r="X13" s="11">
        <v>9443</v>
      </c>
      <c r="Y13" s="11">
        <v>444</v>
      </c>
      <c r="Z13" s="11">
        <v>40809</v>
      </c>
      <c r="AA13" s="11">
        <v>24366</v>
      </c>
      <c r="AB13" s="11">
        <v>18379</v>
      </c>
      <c r="AC13" s="11">
        <v>49376</v>
      </c>
      <c r="AD13" s="11">
        <v>21778</v>
      </c>
      <c r="AE13" s="11">
        <v>77490</v>
      </c>
      <c r="AF13" s="11">
        <v>38017</v>
      </c>
      <c r="AG13" s="11">
        <v>20695</v>
      </c>
      <c r="AH13" s="11">
        <v>6105</v>
      </c>
      <c r="AI13" s="12">
        <f t="shared" si="0"/>
        <v>1140863.48</v>
      </c>
    </row>
    <row r="14" spans="1:35" x14ac:dyDescent="0.25">
      <c r="A14" s="3" t="s">
        <v>84</v>
      </c>
      <c r="B14" s="11"/>
      <c r="C14" s="11"/>
      <c r="D14" s="11">
        <v>4872</v>
      </c>
      <c r="E14" s="11"/>
      <c r="F14" s="11"/>
      <c r="G14" s="11">
        <v>9556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>
        <v>4119</v>
      </c>
      <c r="S14" s="11"/>
      <c r="T14" s="11"/>
      <c r="U14" s="11">
        <v>87264</v>
      </c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>
        <v>67167</v>
      </c>
      <c r="AH14" s="11"/>
      <c r="AI14" s="12">
        <f t="shared" si="0"/>
        <v>172978</v>
      </c>
    </row>
    <row r="15" spans="1:35" x14ac:dyDescent="0.25">
      <c r="A15" s="3" t="s">
        <v>85</v>
      </c>
      <c r="B15" s="11">
        <f>B16-B14-B13-B12-B11-B10-B9-B8-B7-B6-B5-B4</f>
        <v>0</v>
      </c>
      <c r="C15" s="11">
        <f t="shared" ref="C15:AH15" si="1">C16-C14-C13-C12-C11-C10-C9-C8-C7-C6-C5-C4</f>
        <v>52737</v>
      </c>
      <c r="D15" s="83">
        <f t="shared" si="1"/>
        <v>-849478</v>
      </c>
      <c r="E15" s="11">
        <f t="shared" si="1"/>
        <v>0</v>
      </c>
      <c r="F15" s="11">
        <f t="shared" si="1"/>
        <v>0</v>
      </c>
      <c r="G15" s="11">
        <f t="shared" si="1"/>
        <v>33776</v>
      </c>
      <c r="H15" s="11">
        <f t="shared" si="1"/>
        <v>1112</v>
      </c>
      <c r="I15" s="11">
        <f t="shared" si="1"/>
        <v>7.4578565545380116E-11</v>
      </c>
      <c r="J15" s="11">
        <f t="shared" si="1"/>
        <v>0</v>
      </c>
      <c r="K15" s="11">
        <f t="shared" si="1"/>
        <v>1</v>
      </c>
      <c r="L15" s="11">
        <f t="shared" si="1"/>
        <v>0</v>
      </c>
      <c r="M15" s="11">
        <f t="shared" si="1"/>
        <v>0</v>
      </c>
      <c r="N15" s="11">
        <f t="shared" si="1"/>
        <v>0</v>
      </c>
      <c r="O15" s="11">
        <f t="shared" si="1"/>
        <v>0</v>
      </c>
      <c r="P15" s="11">
        <f t="shared" si="1"/>
        <v>0</v>
      </c>
      <c r="Q15" s="11">
        <f t="shared" si="1"/>
        <v>19914</v>
      </c>
      <c r="R15" s="11">
        <f t="shared" si="1"/>
        <v>0</v>
      </c>
      <c r="S15" s="11">
        <f t="shared" si="1"/>
        <v>0</v>
      </c>
      <c r="T15" s="11">
        <f t="shared" si="1"/>
        <v>0</v>
      </c>
      <c r="U15" s="11">
        <f t="shared" si="1"/>
        <v>345602.99999999977</v>
      </c>
      <c r="V15" s="11">
        <f t="shared" si="1"/>
        <v>0</v>
      </c>
      <c r="W15" s="11">
        <f t="shared" si="1"/>
        <v>201280</v>
      </c>
      <c r="X15" s="11">
        <f t="shared" si="1"/>
        <v>86492</v>
      </c>
      <c r="Y15" s="11">
        <f t="shared" si="1"/>
        <v>0</v>
      </c>
      <c r="Z15" s="11">
        <f t="shared" si="1"/>
        <v>33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2</v>
      </c>
      <c r="AE15" s="11">
        <f t="shared" si="1"/>
        <v>127</v>
      </c>
      <c r="AF15" s="11">
        <f t="shared" si="1"/>
        <v>0</v>
      </c>
      <c r="AG15" s="11">
        <f t="shared" si="1"/>
        <v>65671</v>
      </c>
      <c r="AH15" s="11">
        <f t="shared" si="1"/>
        <v>0</v>
      </c>
      <c r="AI15" s="12">
        <f t="shared" si="0"/>
        <v>-42730.000000000116</v>
      </c>
    </row>
    <row r="16" spans="1:35" s="9" customFormat="1" x14ac:dyDescent="0.25">
      <c r="A16" s="4" t="s">
        <v>52</v>
      </c>
      <c r="B16" s="12">
        <v>64150</v>
      </c>
      <c r="C16" s="12">
        <v>711736</v>
      </c>
      <c r="D16" s="12">
        <v>1592651</v>
      </c>
      <c r="E16" s="12">
        <v>4123867</v>
      </c>
      <c r="F16" s="12">
        <v>159578</v>
      </c>
      <c r="G16" s="12">
        <v>676113</v>
      </c>
      <c r="H16" s="12">
        <v>95137</v>
      </c>
      <c r="I16" s="12">
        <v>1166762.51</v>
      </c>
      <c r="J16" s="12">
        <v>176760</v>
      </c>
      <c r="K16" s="12">
        <v>207747</v>
      </c>
      <c r="L16" s="12">
        <v>2147950</v>
      </c>
      <c r="M16" s="12">
        <v>270108</v>
      </c>
      <c r="N16" s="12">
        <v>6501092</v>
      </c>
      <c r="O16" s="12">
        <v>532065</v>
      </c>
      <c r="P16" s="12">
        <v>71793</v>
      </c>
      <c r="Q16" s="12">
        <v>228013</v>
      </c>
      <c r="R16" s="12">
        <v>247518</v>
      </c>
      <c r="S16" s="12">
        <v>140783</v>
      </c>
      <c r="T16" s="12">
        <v>357868</v>
      </c>
      <c r="U16" s="12">
        <v>2538725.7460440481</v>
      </c>
      <c r="V16" s="12">
        <v>492212</v>
      </c>
      <c r="W16" s="12">
        <v>4448738</v>
      </c>
      <c r="X16" s="12">
        <v>2299129</v>
      </c>
      <c r="Y16" s="12">
        <v>30996</v>
      </c>
      <c r="Z16" s="12">
        <v>283762</v>
      </c>
      <c r="AA16" s="12">
        <v>503109</v>
      </c>
      <c r="AB16" s="12">
        <v>304258</v>
      </c>
      <c r="AC16" s="12">
        <v>964017</v>
      </c>
      <c r="AD16" s="12">
        <v>481355</v>
      </c>
      <c r="AE16" s="12">
        <v>753911</v>
      </c>
      <c r="AF16" s="12">
        <v>2018645</v>
      </c>
      <c r="AG16" s="12">
        <v>1522352</v>
      </c>
      <c r="AH16" s="12">
        <v>367070</v>
      </c>
      <c r="AI16" s="12">
        <f t="shared" si="0"/>
        <v>36479971.256044045</v>
      </c>
    </row>
    <row r="17" spans="1:35" x14ac:dyDescent="0.25">
      <c r="A17" s="3" t="s">
        <v>86</v>
      </c>
      <c r="B17" s="11"/>
      <c r="C17" s="11">
        <v>1370</v>
      </c>
      <c r="D17" s="11">
        <v>10263</v>
      </c>
      <c r="E17" s="11">
        <v>158226</v>
      </c>
      <c r="F17" s="11">
        <v>26445</v>
      </c>
      <c r="G17" s="11">
        <v>19282</v>
      </c>
      <c r="H17" s="11">
        <v>36664</v>
      </c>
      <c r="I17" s="11">
        <v>1769053.46</v>
      </c>
      <c r="J17" s="11">
        <v>75512</v>
      </c>
      <c r="K17" s="11">
        <v>676409</v>
      </c>
      <c r="L17" s="11">
        <v>283141</v>
      </c>
      <c r="M17" s="11">
        <v>139032</v>
      </c>
      <c r="N17" s="11">
        <v>93959</v>
      </c>
      <c r="O17" s="11">
        <v>174501</v>
      </c>
      <c r="P17" s="11"/>
      <c r="Q17" s="11">
        <v>24189</v>
      </c>
      <c r="R17" s="11">
        <v>16282</v>
      </c>
      <c r="S17" s="11">
        <v>104289</v>
      </c>
      <c r="T17" s="11">
        <v>26221</v>
      </c>
      <c r="U17" s="11">
        <v>1110000</v>
      </c>
      <c r="V17" s="11">
        <v>24256</v>
      </c>
      <c r="W17" s="11">
        <v>252605</v>
      </c>
      <c r="X17" s="11">
        <v>3550938</v>
      </c>
      <c r="Y17" s="11">
        <v>18643</v>
      </c>
      <c r="Z17" s="11">
        <v>99714</v>
      </c>
      <c r="AA17" s="11">
        <v>7553</v>
      </c>
      <c r="AB17" s="11">
        <v>1447</v>
      </c>
      <c r="AC17" s="11">
        <v>39429</v>
      </c>
      <c r="AD17" s="11"/>
      <c r="AE17" s="11">
        <v>143297</v>
      </c>
      <c r="AF17" s="11">
        <v>84251</v>
      </c>
      <c r="AG17" s="11">
        <v>1120843</v>
      </c>
      <c r="AH17" s="11">
        <v>23967</v>
      </c>
      <c r="AI17" s="12">
        <f t="shared" si="0"/>
        <v>10111781.460000001</v>
      </c>
    </row>
    <row r="18" spans="1:35" ht="30" x14ac:dyDescent="0.25">
      <c r="A18" s="3" t="s">
        <v>87</v>
      </c>
      <c r="B18" s="11"/>
      <c r="C18" s="11">
        <v>46339</v>
      </c>
      <c r="D18" s="83">
        <v>849478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2">
        <f t="shared" si="0"/>
        <v>895817</v>
      </c>
    </row>
    <row r="19" spans="1:35" s="9" customFormat="1" x14ac:dyDescent="0.25">
      <c r="A19" s="4" t="s">
        <v>88</v>
      </c>
      <c r="B19" s="12">
        <f>B16+B17+B18</f>
        <v>64150</v>
      </c>
      <c r="C19" s="12">
        <f t="shared" ref="C19:AH19" si="2">C16+C17+C18</f>
        <v>759445</v>
      </c>
      <c r="D19" s="12">
        <f t="shared" si="2"/>
        <v>2452392</v>
      </c>
      <c r="E19" s="12">
        <f t="shared" si="2"/>
        <v>4282093</v>
      </c>
      <c r="F19" s="12">
        <f t="shared" si="2"/>
        <v>186023</v>
      </c>
      <c r="G19" s="12">
        <f t="shared" si="2"/>
        <v>695395</v>
      </c>
      <c r="H19" s="12">
        <f t="shared" si="2"/>
        <v>131801</v>
      </c>
      <c r="I19" s="12">
        <f t="shared" si="2"/>
        <v>2935815.9699999997</v>
      </c>
      <c r="J19" s="12">
        <f t="shared" si="2"/>
        <v>252272</v>
      </c>
      <c r="K19" s="12">
        <f t="shared" si="2"/>
        <v>884156</v>
      </c>
      <c r="L19" s="12">
        <f t="shared" si="2"/>
        <v>2431091</v>
      </c>
      <c r="M19" s="12">
        <f t="shared" si="2"/>
        <v>409140</v>
      </c>
      <c r="N19" s="12">
        <f t="shared" si="2"/>
        <v>6595051</v>
      </c>
      <c r="O19" s="12">
        <f t="shared" si="2"/>
        <v>706566</v>
      </c>
      <c r="P19" s="12">
        <f t="shared" si="2"/>
        <v>71793</v>
      </c>
      <c r="Q19" s="12">
        <f t="shared" si="2"/>
        <v>252202</v>
      </c>
      <c r="R19" s="12">
        <f t="shared" si="2"/>
        <v>263800</v>
      </c>
      <c r="S19" s="12">
        <f t="shared" si="2"/>
        <v>245072</v>
      </c>
      <c r="T19" s="12">
        <f t="shared" si="2"/>
        <v>384089</v>
      </c>
      <c r="U19" s="12">
        <f t="shared" si="2"/>
        <v>3648725.7460440481</v>
      </c>
      <c r="V19" s="12">
        <f t="shared" si="2"/>
        <v>516468</v>
      </c>
      <c r="W19" s="12">
        <f t="shared" si="2"/>
        <v>4701343</v>
      </c>
      <c r="X19" s="12">
        <f t="shared" si="2"/>
        <v>5850067</v>
      </c>
      <c r="Y19" s="12">
        <f t="shared" si="2"/>
        <v>49639</v>
      </c>
      <c r="Z19" s="12">
        <f t="shared" si="2"/>
        <v>383476</v>
      </c>
      <c r="AA19" s="12">
        <f t="shared" si="2"/>
        <v>510662</v>
      </c>
      <c r="AB19" s="12">
        <f t="shared" si="2"/>
        <v>305705</v>
      </c>
      <c r="AC19" s="12">
        <f t="shared" si="2"/>
        <v>1003446</v>
      </c>
      <c r="AD19" s="12">
        <f t="shared" si="2"/>
        <v>481355</v>
      </c>
      <c r="AE19" s="12">
        <f t="shared" si="2"/>
        <v>897208</v>
      </c>
      <c r="AF19" s="12">
        <f t="shared" si="2"/>
        <v>2102896</v>
      </c>
      <c r="AG19" s="12">
        <f t="shared" si="2"/>
        <v>2643195</v>
      </c>
      <c r="AH19" s="12">
        <f t="shared" si="2"/>
        <v>391037</v>
      </c>
      <c r="AI19" s="12">
        <f t="shared" si="0"/>
        <v>47487569.716044046</v>
      </c>
    </row>
    <row r="24" spans="1:35" x14ac:dyDescent="0.25">
      <c r="L24" s="8">
        <f>161804+1627</f>
        <v>163431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0.140625" style="8" customWidth="1"/>
    <col min="2" max="34" width="16" style="8" customWidth="1"/>
    <col min="35" max="35" width="16" style="67" customWidth="1"/>
    <col min="36" max="16384" width="9.140625" style="8"/>
  </cols>
  <sheetData>
    <row r="1" spans="1:35" ht="18.75" x14ac:dyDescent="0.3">
      <c r="A1" s="18" t="s">
        <v>304</v>
      </c>
    </row>
    <row r="2" spans="1:35" x14ac:dyDescent="0.25">
      <c r="A2" s="7" t="s">
        <v>44</v>
      </c>
    </row>
    <row r="3" spans="1:35" x14ac:dyDescent="0.25">
      <c r="A3" s="1" t="s">
        <v>0</v>
      </c>
      <c r="B3" s="96" t="s">
        <v>1</v>
      </c>
      <c r="C3" s="96" t="s">
        <v>2</v>
      </c>
      <c r="D3" s="96" t="s">
        <v>3</v>
      </c>
      <c r="E3" s="96" t="s">
        <v>4</v>
      </c>
      <c r="F3" s="96" t="s">
        <v>5</v>
      </c>
      <c r="G3" s="96" t="s">
        <v>6</v>
      </c>
      <c r="H3" s="96" t="s">
        <v>7</v>
      </c>
      <c r="I3" s="96" t="s">
        <v>8</v>
      </c>
      <c r="J3" s="96" t="s">
        <v>9</v>
      </c>
      <c r="K3" s="96" t="s">
        <v>10</v>
      </c>
      <c r="L3" s="96" t="s">
        <v>11</v>
      </c>
      <c r="M3" s="96" t="s">
        <v>293</v>
      </c>
      <c r="N3" s="96" t="s">
        <v>12</v>
      </c>
      <c r="O3" s="96" t="s">
        <v>13</v>
      </c>
      <c r="P3" s="96" t="s">
        <v>14</v>
      </c>
      <c r="Q3" s="96" t="s">
        <v>15</v>
      </c>
      <c r="R3" s="96" t="s">
        <v>16</v>
      </c>
      <c r="S3" s="96" t="s">
        <v>295</v>
      </c>
      <c r="T3" s="96" t="s">
        <v>17</v>
      </c>
      <c r="U3" s="96" t="s">
        <v>18</v>
      </c>
      <c r="V3" s="75" t="s">
        <v>294</v>
      </c>
      <c r="W3" s="96" t="s">
        <v>19</v>
      </c>
      <c r="X3" s="96" t="s">
        <v>20</v>
      </c>
      <c r="Y3" s="96" t="s">
        <v>21</v>
      </c>
      <c r="Z3" s="96" t="s">
        <v>22</v>
      </c>
      <c r="AA3" s="96" t="s">
        <v>23</v>
      </c>
      <c r="AB3" s="96" t="s">
        <v>24</v>
      </c>
      <c r="AC3" s="96" t="s">
        <v>25</v>
      </c>
      <c r="AD3" s="96" t="s">
        <v>26</v>
      </c>
      <c r="AE3" s="96" t="s">
        <v>27</v>
      </c>
      <c r="AF3" s="96" t="s">
        <v>28</v>
      </c>
      <c r="AG3" s="95" t="s">
        <v>29</v>
      </c>
      <c r="AH3" s="96" t="s">
        <v>30</v>
      </c>
      <c r="AI3" s="96" t="s">
        <v>31</v>
      </c>
    </row>
    <row r="4" spans="1:35" ht="15" customHeight="1" x14ac:dyDescent="0.25">
      <c r="A4" s="3" t="s">
        <v>89</v>
      </c>
      <c r="B4" s="11">
        <v>529</v>
      </c>
      <c r="C4" s="11">
        <v>844</v>
      </c>
      <c r="D4" s="11">
        <v>59</v>
      </c>
      <c r="E4" s="11">
        <v>4515</v>
      </c>
      <c r="F4" s="11">
        <v>1804</v>
      </c>
      <c r="G4" s="11">
        <v>50687</v>
      </c>
      <c r="H4" s="11">
        <v>684</v>
      </c>
      <c r="I4" s="11">
        <v>389.72</v>
      </c>
      <c r="J4" s="11">
        <v>41292</v>
      </c>
      <c r="K4" s="11">
        <v>186141</v>
      </c>
      <c r="L4" s="11">
        <v>129897</v>
      </c>
      <c r="M4" s="11">
        <v>4710</v>
      </c>
      <c r="N4" s="11">
        <v>30039</v>
      </c>
      <c r="O4" s="11">
        <v>10501</v>
      </c>
      <c r="P4" s="11">
        <v>7150</v>
      </c>
      <c r="Q4" s="11">
        <v>47421</v>
      </c>
      <c r="R4" s="11">
        <v>3200</v>
      </c>
      <c r="S4" s="11">
        <v>4041</v>
      </c>
      <c r="T4" s="11">
        <v>11966</v>
      </c>
      <c r="U4" s="11">
        <v>82425</v>
      </c>
      <c r="V4" s="11">
        <v>3946</v>
      </c>
      <c r="W4" s="11">
        <v>19502</v>
      </c>
      <c r="X4" s="11">
        <v>39522</v>
      </c>
      <c r="Y4" s="11">
        <v>17</v>
      </c>
      <c r="Z4" s="11">
        <v>8088</v>
      </c>
      <c r="AA4" s="11">
        <v>16334</v>
      </c>
      <c r="AB4" s="11">
        <v>12575</v>
      </c>
      <c r="AC4" s="11">
        <v>60644</v>
      </c>
      <c r="AD4" s="11">
        <v>7975</v>
      </c>
      <c r="AE4" s="11">
        <v>411806</v>
      </c>
      <c r="AF4" s="11">
        <v>122003</v>
      </c>
      <c r="AG4" s="11">
        <v>5114101</v>
      </c>
      <c r="AH4" s="8">
        <v>4273</v>
      </c>
      <c r="AI4" s="12">
        <f t="shared" ref="AI4:AI16" si="0">SUM(B4:AH4)</f>
        <v>6439080.7199999997</v>
      </c>
    </row>
    <row r="5" spans="1:35" x14ac:dyDescent="0.25">
      <c r="A5" s="3" t="s">
        <v>90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2">
        <f t="shared" si="0"/>
        <v>0</v>
      </c>
    </row>
    <row r="6" spans="1:35" x14ac:dyDescent="0.25">
      <c r="A6" s="3" t="s">
        <v>91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2">
        <f t="shared" si="0"/>
        <v>0</v>
      </c>
    </row>
    <row r="7" spans="1:35" ht="15" customHeight="1" x14ac:dyDescent="0.25">
      <c r="A7" s="3" t="s">
        <v>92</v>
      </c>
      <c r="B7" s="11"/>
      <c r="C7" s="11">
        <v>674</v>
      </c>
      <c r="D7" s="11">
        <v>51771370</v>
      </c>
      <c r="E7" s="11">
        <v>2284498</v>
      </c>
      <c r="F7" s="11">
        <v>85403</v>
      </c>
      <c r="G7" s="11"/>
      <c r="H7" s="11"/>
      <c r="I7" s="11">
        <f>4803600+7219909</f>
        <v>12023509</v>
      </c>
      <c r="J7" s="11"/>
      <c r="K7" s="11"/>
      <c r="L7" s="11">
        <v>179788</v>
      </c>
      <c r="M7" s="11">
        <v>5420</v>
      </c>
      <c r="N7" s="11">
        <v>1590</v>
      </c>
      <c r="O7" s="11"/>
      <c r="P7" s="11"/>
      <c r="Q7" s="11">
        <v>58648</v>
      </c>
      <c r="R7" s="11"/>
      <c r="S7" s="11">
        <v>159000</v>
      </c>
      <c r="T7" s="11">
        <v>40500</v>
      </c>
      <c r="U7" s="11">
        <v>1900696</v>
      </c>
      <c r="V7" s="11">
        <v>1015</v>
      </c>
      <c r="W7" s="11">
        <v>35813767</v>
      </c>
      <c r="X7" s="11">
        <v>14671544</v>
      </c>
      <c r="Y7" s="11"/>
      <c r="Z7" s="11">
        <v>14585</v>
      </c>
      <c r="AA7" s="11">
        <v>6855</v>
      </c>
      <c r="AB7" s="11"/>
      <c r="AC7" s="11"/>
      <c r="AD7" s="11"/>
      <c r="AE7" s="11">
        <v>2360000</v>
      </c>
      <c r="AF7" s="11"/>
      <c r="AG7" s="11">
        <v>14596410</v>
      </c>
      <c r="AI7" s="12">
        <f t="shared" si="0"/>
        <v>135975272</v>
      </c>
    </row>
    <row r="8" spans="1:35" x14ac:dyDescent="0.25">
      <c r="A8" s="3" t="s">
        <v>93</v>
      </c>
      <c r="B8" s="11"/>
      <c r="C8" s="11">
        <v>3531</v>
      </c>
      <c r="D8" s="11"/>
      <c r="E8" s="11"/>
      <c r="F8" s="11"/>
      <c r="G8" s="11"/>
      <c r="H8" s="11"/>
      <c r="I8" s="11">
        <v>200000</v>
      </c>
      <c r="J8" s="11">
        <v>1885</v>
      </c>
      <c r="K8" s="11"/>
      <c r="L8" s="11">
        <v>16653</v>
      </c>
      <c r="M8" s="11">
        <v>7000</v>
      </c>
      <c r="N8" s="11"/>
      <c r="O8" s="11"/>
      <c r="P8" s="11">
        <v>10000</v>
      </c>
      <c r="Q8" s="11"/>
      <c r="R8" s="11"/>
      <c r="S8" s="11">
        <v>2500</v>
      </c>
      <c r="T8" s="11"/>
      <c r="U8" s="11"/>
      <c r="V8" s="11"/>
      <c r="W8" s="11">
        <v>58977320</v>
      </c>
      <c r="X8" s="11"/>
      <c r="Y8" s="11"/>
      <c r="Z8" s="11"/>
      <c r="AA8" s="11">
        <v>4524</v>
      </c>
      <c r="AB8" s="11"/>
      <c r="AC8" s="11"/>
      <c r="AD8" s="11"/>
      <c r="AE8" s="11">
        <v>1314900</v>
      </c>
      <c r="AF8" s="11"/>
      <c r="AG8" s="11">
        <v>0</v>
      </c>
      <c r="AH8" s="11"/>
      <c r="AI8" s="12">
        <f t="shared" si="0"/>
        <v>60538313</v>
      </c>
    </row>
    <row r="9" spans="1:35" x14ac:dyDescent="0.25">
      <c r="A9" s="3" t="s">
        <v>94</v>
      </c>
      <c r="B9" s="11">
        <v>74687</v>
      </c>
      <c r="C9" s="11">
        <v>335406</v>
      </c>
      <c r="D9" s="11">
        <v>1959040</v>
      </c>
      <c r="E9" s="11">
        <v>2818599</v>
      </c>
      <c r="F9" s="11">
        <v>97594</v>
      </c>
      <c r="G9" s="11">
        <v>252609</v>
      </c>
      <c r="H9" s="11">
        <v>72555</v>
      </c>
      <c r="I9" s="11">
        <v>53539.74</v>
      </c>
      <c r="J9" s="11">
        <v>436857</v>
      </c>
      <c r="K9" s="11">
        <v>146886</v>
      </c>
      <c r="L9" s="11">
        <v>3073645</v>
      </c>
      <c r="M9" s="11">
        <v>350729</v>
      </c>
      <c r="N9" s="11">
        <v>469303</v>
      </c>
      <c r="O9" s="11">
        <v>1961061</v>
      </c>
      <c r="P9" s="11">
        <v>103524</v>
      </c>
      <c r="Q9" s="11">
        <v>5682</v>
      </c>
      <c r="R9" s="11">
        <v>164835</v>
      </c>
      <c r="S9" s="11">
        <v>110495</v>
      </c>
      <c r="T9" s="11">
        <v>102410</v>
      </c>
      <c r="U9" s="11">
        <v>5397027</v>
      </c>
      <c r="V9" s="11">
        <v>51982</v>
      </c>
      <c r="W9" s="11">
        <v>13821142</v>
      </c>
      <c r="X9" s="11">
        <v>10139926</v>
      </c>
      <c r="Y9" s="11">
        <v>282352</v>
      </c>
      <c r="Z9" s="11">
        <v>2143639</v>
      </c>
      <c r="AA9" s="11">
        <v>280641</v>
      </c>
      <c r="AB9" s="11">
        <v>389707</v>
      </c>
      <c r="AC9" s="11">
        <v>735759</v>
      </c>
      <c r="AD9" s="11">
        <v>499723</v>
      </c>
      <c r="AE9" s="11">
        <v>1625672</v>
      </c>
      <c r="AF9" s="11">
        <v>2020833</v>
      </c>
      <c r="AG9" s="11">
        <v>4675628</v>
      </c>
      <c r="AH9" s="8">
        <v>907448</v>
      </c>
      <c r="AI9" s="12">
        <f t="shared" si="0"/>
        <v>55560935.740000002</v>
      </c>
    </row>
    <row r="10" spans="1:35" x14ac:dyDescent="0.25">
      <c r="A10" s="3" t="s">
        <v>95</v>
      </c>
      <c r="B10" s="11"/>
      <c r="C10" s="11"/>
      <c r="D10" s="11"/>
      <c r="E10" s="11">
        <v>381921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>
        <v>320238</v>
      </c>
      <c r="AA10" s="11"/>
      <c r="AB10" s="11"/>
      <c r="AC10" s="11"/>
      <c r="AD10" s="11">
        <v>15030</v>
      </c>
      <c r="AE10" s="11"/>
      <c r="AF10" s="11"/>
      <c r="AG10" s="11"/>
      <c r="AH10" s="11"/>
      <c r="AI10" s="12">
        <f t="shared" si="0"/>
        <v>717189</v>
      </c>
    </row>
    <row r="11" spans="1:35" x14ac:dyDescent="0.25">
      <c r="A11" s="3" t="s">
        <v>96</v>
      </c>
      <c r="B11" s="11"/>
      <c r="C11" s="11"/>
      <c r="D11" s="11"/>
      <c r="E11" s="11"/>
      <c r="F11" s="11"/>
      <c r="G11" s="11"/>
      <c r="H11" s="11"/>
      <c r="I11" s="11">
        <v>100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2">
        <f t="shared" si="0"/>
        <v>100</v>
      </c>
    </row>
    <row r="12" spans="1:35" x14ac:dyDescent="0.25">
      <c r="A12" s="3" t="s">
        <v>97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2">
        <f t="shared" si="0"/>
        <v>0</v>
      </c>
    </row>
    <row r="13" spans="1:35" x14ac:dyDescent="0.25">
      <c r="A13" s="3" t="s">
        <v>98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2">
        <f t="shared" si="0"/>
        <v>0</v>
      </c>
    </row>
    <row r="14" spans="1:35" x14ac:dyDescent="0.25">
      <c r="A14" s="3" t="s">
        <v>99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>
        <v>12828925</v>
      </c>
      <c r="X14" s="11"/>
      <c r="Y14" s="11"/>
      <c r="Z14" s="11"/>
      <c r="AA14" s="11"/>
      <c r="AB14" s="11"/>
      <c r="AC14" s="11"/>
      <c r="AD14" s="11"/>
      <c r="AE14" s="11"/>
      <c r="AF14" s="11"/>
      <c r="AG14" s="11">
        <v>3017654</v>
      </c>
      <c r="AI14" s="12">
        <f t="shared" si="0"/>
        <v>15846579</v>
      </c>
    </row>
    <row r="15" spans="1:35" x14ac:dyDescent="0.25">
      <c r="A15" s="3" t="s">
        <v>42</v>
      </c>
      <c r="B15" s="11">
        <f>B16-B14-B13-B12-B11-B10-B9-B8-B7-B6-B5-B4</f>
        <v>8328</v>
      </c>
      <c r="C15" s="83">
        <f t="shared" ref="C15:AH15" si="1">C16-C14-C13-C12-C11-C10-C9-C8-C7-C6-C5-C4</f>
        <v>-100</v>
      </c>
      <c r="D15" s="11">
        <f t="shared" si="1"/>
        <v>0</v>
      </c>
      <c r="E15" s="11">
        <f t="shared" si="1"/>
        <v>0</v>
      </c>
      <c r="F15" s="11">
        <f t="shared" si="1"/>
        <v>0</v>
      </c>
      <c r="G15" s="11">
        <f t="shared" si="1"/>
        <v>43037</v>
      </c>
      <c r="H15" s="11">
        <f t="shared" si="1"/>
        <v>0</v>
      </c>
      <c r="I15" s="11">
        <f t="shared" si="1"/>
        <v>6.7052496888209134E-10</v>
      </c>
      <c r="J15" s="11">
        <f t="shared" si="1"/>
        <v>0</v>
      </c>
      <c r="K15" s="11">
        <f t="shared" si="1"/>
        <v>0</v>
      </c>
      <c r="L15" s="11">
        <f t="shared" si="1"/>
        <v>0</v>
      </c>
      <c r="M15" s="11">
        <f t="shared" si="1"/>
        <v>0</v>
      </c>
      <c r="N15" s="11">
        <f t="shared" si="1"/>
        <v>0</v>
      </c>
      <c r="O15" s="11">
        <f t="shared" si="1"/>
        <v>0</v>
      </c>
      <c r="P15" s="11">
        <f t="shared" si="1"/>
        <v>0</v>
      </c>
      <c r="Q15" s="11">
        <f t="shared" si="1"/>
        <v>0</v>
      </c>
      <c r="R15" s="11">
        <f t="shared" si="1"/>
        <v>0</v>
      </c>
      <c r="S15" s="11">
        <f t="shared" si="1"/>
        <v>0</v>
      </c>
      <c r="T15" s="11">
        <f t="shared" si="1"/>
        <v>0</v>
      </c>
      <c r="U15" s="11">
        <f t="shared" si="1"/>
        <v>290</v>
      </c>
      <c r="V15" s="11">
        <f t="shared" si="1"/>
        <v>0</v>
      </c>
      <c r="W15" s="11">
        <f t="shared" si="1"/>
        <v>0</v>
      </c>
      <c r="X15" s="11">
        <f t="shared" si="1"/>
        <v>0</v>
      </c>
      <c r="Y15" s="11">
        <f t="shared" si="1"/>
        <v>0</v>
      </c>
      <c r="Z15" s="11">
        <f t="shared" si="1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2">
        <f t="shared" si="0"/>
        <v>51555.000000000669</v>
      </c>
    </row>
    <row r="16" spans="1:35" s="9" customFormat="1" x14ac:dyDescent="0.25">
      <c r="A16" s="4" t="s">
        <v>52</v>
      </c>
      <c r="B16" s="12">
        <v>83544</v>
      </c>
      <c r="C16" s="12">
        <v>340355</v>
      </c>
      <c r="D16" s="12">
        <v>53730469</v>
      </c>
      <c r="E16" s="12">
        <v>5489533</v>
      </c>
      <c r="F16" s="12">
        <v>184801</v>
      </c>
      <c r="G16" s="12">
        <v>346333</v>
      </c>
      <c r="H16" s="12">
        <v>73239</v>
      </c>
      <c r="I16" s="12">
        <v>12277538.460000001</v>
      </c>
      <c r="J16" s="12">
        <v>480034</v>
      </c>
      <c r="K16" s="12">
        <v>333027</v>
      </c>
      <c r="L16" s="12">
        <v>3399983</v>
      </c>
      <c r="M16" s="12">
        <v>367859</v>
      </c>
      <c r="N16" s="12">
        <v>500932</v>
      </c>
      <c r="O16" s="12">
        <v>1971562</v>
      </c>
      <c r="P16" s="12">
        <v>120674</v>
      </c>
      <c r="Q16" s="12">
        <v>111751</v>
      </c>
      <c r="R16" s="12">
        <v>168035</v>
      </c>
      <c r="S16" s="12">
        <v>276036</v>
      </c>
      <c r="T16" s="12">
        <v>154876</v>
      </c>
      <c r="U16" s="12">
        <v>7380438</v>
      </c>
      <c r="V16" s="12">
        <v>56943</v>
      </c>
      <c r="W16" s="12">
        <v>121460656</v>
      </c>
      <c r="X16" s="12">
        <v>24850992</v>
      </c>
      <c r="Y16" s="12">
        <v>282369</v>
      </c>
      <c r="Z16" s="12">
        <v>2486550</v>
      </c>
      <c r="AA16" s="12">
        <v>308354</v>
      </c>
      <c r="AB16" s="12">
        <v>402282</v>
      </c>
      <c r="AC16" s="12">
        <v>796403</v>
      </c>
      <c r="AD16" s="12">
        <v>522728</v>
      </c>
      <c r="AE16" s="12">
        <v>5712378</v>
      </c>
      <c r="AF16" s="12">
        <v>2142836</v>
      </c>
      <c r="AG16" s="12">
        <v>27403793</v>
      </c>
      <c r="AH16" s="12">
        <v>911721</v>
      </c>
      <c r="AI16" s="12">
        <f t="shared" si="0"/>
        <v>275129024.46000004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8" customWidth="1"/>
    <col min="2" max="34" width="16" style="8" customWidth="1"/>
    <col min="35" max="35" width="16" style="9" customWidth="1"/>
    <col min="36" max="16384" width="9.140625" style="8"/>
  </cols>
  <sheetData>
    <row r="1" spans="1:35" ht="18.75" x14ac:dyDescent="0.3">
      <c r="A1" s="18" t="s">
        <v>305</v>
      </c>
    </row>
    <row r="2" spans="1:35" x14ac:dyDescent="0.25">
      <c r="A2" s="19" t="s">
        <v>44</v>
      </c>
    </row>
    <row r="3" spans="1:35" x14ac:dyDescent="0.25">
      <c r="A3" s="1" t="s">
        <v>0</v>
      </c>
      <c r="B3" s="96" t="s">
        <v>1</v>
      </c>
      <c r="C3" s="96" t="s">
        <v>2</v>
      </c>
      <c r="D3" s="96" t="s">
        <v>3</v>
      </c>
      <c r="E3" s="96" t="s">
        <v>4</v>
      </c>
      <c r="F3" s="96" t="s">
        <v>5</v>
      </c>
      <c r="G3" s="96" t="s">
        <v>6</v>
      </c>
      <c r="H3" s="96" t="s">
        <v>7</v>
      </c>
      <c r="I3" s="96" t="s">
        <v>8</v>
      </c>
      <c r="J3" s="96" t="s">
        <v>9</v>
      </c>
      <c r="K3" s="96" t="s">
        <v>10</v>
      </c>
      <c r="L3" s="96" t="s">
        <v>11</v>
      </c>
      <c r="M3" s="96" t="s">
        <v>293</v>
      </c>
      <c r="N3" s="96" t="s">
        <v>12</v>
      </c>
      <c r="O3" s="96" t="s">
        <v>13</v>
      </c>
      <c r="P3" s="96" t="s">
        <v>14</v>
      </c>
      <c r="Q3" s="96" t="s">
        <v>15</v>
      </c>
      <c r="R3" s="96" t="s">
        <v>16</v>
      </c>
      <c r="S3" s="96" t="s">
        <v>295</v>
      </c>
      <c r="T3" s="96" t="s">
        <v>17</v>
      </c>
      <c r="U3" s="96" t="s">
        <v>18</v>
      </c>
      <c r="V3" s="75" t="s">
        <v>294</v>
      </c>
      <c r="W3" s="96" t="s">
        <v>19</v>
      </c>
      <c r="X3" s="96" t="s">
        <v>20</v>
      </c>
      <c r="Y3" s="96" t="s">
        <v>21</v>
      </c>
      <c r="Z3" s="96" t="s">
        <v>22</v>
      </c>
      <c r="AA3" s="96" t="s">
        <v>23</v>
      </c>
      <c r="AB3" s="96" t="s">
        <v>24</v>
      </c>
      <c r="AC3" s="96" t="s">
        <v>25</v>
      </c>
      <c r="AD3" s="96" t="s">
        <v>26</v>
      </c>
      <c r="AE3" s="96" t="s">
        <v>27</v>
      </c>
      <c r="AF3" s="96" t="s">
        <v>28</v>
      </c>
      <c r="AG3" s="95" t="s">
        <v>29</v>
      </c>
      <c r="AH3" s="96" t="s">
        <v>30</v>
      </c>
      <c r="AI3" s="96" t="s">
        <v>31</v>
      </c>
    </row>
    <row r="4" spans="1:35" x14ac:dyDescent="0.25">
      <c r="A4" s="3" t="s">
        <v>100</v>
      </c>
      <c r="B4" s="11">
        <v>17187</v>
      </c>
      <c r="C4" s="11">
        <v>137495</v>
      </c>
      <c r="D4" s="11"/>
      <c r="E4" s="11">
        <v>930461</v>
      </c>
      <c r="F4" s="11">
        <v>182096</v>
      </c>
      <c r="G4" s="11">
        <v>257516</v>
      </c>
      <c r="H4" s="11">
        <v>1968</v>
      </c>
      <c r="I4" s="11"/>
      <c r="J4" s="11">
        <v>127163</v>
      </c>
      <c r="K4" s="11">
        <v>445256</v>
      </c>
      <c r="L4" s="11">
        <v>264456</v>
      </c>
      <c r="M4" s="11">
        <v>257998</v>
      </c>
      <c r="N4" s="11">
        <v>113847</v>
      </c>
      <c r="O4" s="11">
        <v>661025</v>
      </c>
      <c r="P4" s="11">
        <v>20569</v>
      </c>
      <c r="Q4" s="11">
        <v>201077</v>
      </c>
      <c r="R4" s="11">
        <v>29432</v>
      </c>
      <c r="S4" s="11">
        <v>57015</v>
      </c>
      <c r="T4" s="11">
        <v>83603</v>
      </c>
      <c r="U4" s="11">
        <v>1473272</v>
      </c>
      <c r="V4" s="11">
        <v>3550</v>
      </c>
      <c r="W4" s="11">
        <v>2694333</v>
      </c>
      <c r="X4" s="11">
        <v>1152023</v>
      </c>
      <c r="Y4" s="11">
        <v>102538</v>
      </c>
      <c r="Z4" s="11">
        <v>248085</v>
      </c>
      <c r="AA4" s="11">
        <v>187735</v>
      </c>
      <c r="AB4" s="11">
        <v>380627</v>
      </c>
      <c r="AC4" s="11">
        <v>481637</v>
      </c>
      <c r="AD4" s="11">
        <v>114482</v>
      </c>
      <c r="AE4" s="11">
        <v>366225</v>
      </c>
      <c r="AF4" s="11">
        <v>1218554</v>
      </c>
      <c r="AG4" s="11">
        <v>1186332</v>
      </c>
      <c r="AH4" s="11">
        <v>155208</v>
      </c>
      <c r="AI4" s="12">
        <f t="shared" ref="AI4:AI15" si="0">SUM(B4:AH4)</f>
        <v>13552765</v>
      </c>
    </row>
    <row r="5" spans="1:35" ht="15" customHeight="1" x14ac:dyDescent="0.25">
      <c r="A5" s="3" t="s">
        <v>101</v>
      </c>
      <c r="B5" s="11">
        <v>400980</v>
      </c>
      <c r="C5" s="11">
        <v>1004078</v>
      </c>
      <c r="D5" s="11">
        <v>50317705</v>
      </c>
      <c r="E5" s="11">
        <v>8017866</v>
      </c>
      <c r="F5" s="11">
        <v>6055941</v>
      </c>
      <c r="G5" s="11">
        <v>3280885</v>
      </c>
      <c r="H5" s="11">
        <v>151786</v>
      </c>
      <c r="I5" s="11">
        <v>1317262.28</v>
      </c>
      <c r="J5" s="11">
        <v>4447942</v>
      </c>
      <c r="K5" s="11">
        <v>4656465</v>
      </c>
      <c r="L5" s="11">
        <v>18048503</v>
      </c>
      <c r="M5" s="11">
        <v>1195227</v>
      </c>
      <c r="N5" s="11">
        <v>13809170</v>
      </c>
      <c r="O5" s="11">
        <v>15999538</v>
      </c>
      <c r="P5" s="11">
        <v>90548</v>
      </c>
      <c r="Q5" s="11">
        <v>694128</v>
      </c>
      <c r="R5" s="11">
        <v>374658</v>
      </c>
      <c r="S5" s="11">
        <v>28040</v>
      </c>
      <c r="T5" s="11">
        <v>690729</v>
      </c>
      <c r="U5" s="11">
        <v>40786847</v>
      </c>
      <c r="V5" s="11">
        <v>24207</v>
      </c>
      <c r="W5" s="11">
        <v>12885442</v>
      </c>
      <c r="X5" s="11">
        <v>17706470</v>
      </c>
      <c r="Y5" s="11">
        <v>144685</v>
      </c>
      <c r="Z5" s="11">
        <v>12666182</v>
      </c>
      <c r="AA5" s="11">
        <v>400948</v>
      </c>
      <c r="AB5" s="11">
        <v>6696521</v>
      </c>
      <c r="AC5" s="11">
        <v>9142944</v>
      </c>
      <c r="AD5" s="11">
        <v>463235</v>
      </c>
      <c r="AE5" s="11">
        <v>6495</v>
      </c>
      <c r="AF5" s="11">
        <v>11184504</v>
      </c>
      <c r="AG5" s="11">
        <v>31629630</v>
      </c>
      <c r="AH5" s="11">
        <v>3628490</v>
      </c>
      <c r="AI5" s="12">
        <f t="shared" si="0"/>
        <v>277948051.27999997</v>
      </c>
    </row>
    <row r="6" spans="1:35" ht="15" customHeight="1" x14ac:dyDescent="0.25">
      <c r="A6" s="3" t="s">
        <v>102</v>
      </c>
      <c r="B6" s="11"/>
      <c r="C6" s="11"/>
      <c r="D6" s="11"/>
      <c r="E6" s="11"/>
      <c r="F6" s="11">
        <v>78815</v>
      </c>
      <c r="G6" s="11"/>
      <c r="H6" s="11"/>
      <c r="I6" s="11"/>
      <c r="J6" s="11"/>
      <c r="K6" s="11"/>
      <c r="L6" s="11"/>
      <c r="M6" s="11"/>
      <c r="N6" s="11">
        <v>56502</v>
      </c>
      <c r="O6" s="11"/>
      <c r="P6" s="11"/>
      <c r="Q6" s="11"/>
      <c r="R6" s="11">
        <v>974367</v>
      </c>
      <c r="S6" s="11"/>
      <c r="T6" s="11"/>
      <c r="U6" s="11">
        <v>20048437</v>
      </c>
      <c r="V6" s="11"/>
      <c r="W6" s="11">
        <v>1020829</v>
      </c>
      <c r="X6" s="11">
        <v>73078</v>
      </c>
      <c r="Y6" s="11"/>
      <c r="Z6" s="11"/>
      <c r="AA6" s="11"/>
      <c r="AB6" s="11"/>
      <c r="AC6" s="11"/>
      <c r="AD6" s="11"/>
      <c r="AE6" s="11"/>
      <c r="AF6" s="11"/>
      <c r="AG6" s="11">
        <v>4822</v>
      </c>
      <c r="AH6" s="11"/>
      <c r="AI6" s="12">
        <f t="shared" si="0"/>
        <v>22256850</v>
      </c>
    </row>
    <row r="7" spans="1:35" ht="15" customHeight="1" x14ac:dyDescent="0.25">
      <c r="A7" s="3" t="s">
        <v>103</v>
      </c>
      <c r="B7" s="11">
        <v>483697</v>
      </c>
      <c r="C7" s="11">
        <v>48305</v>
      </c>
      <c r="D7" s="11"/>
      <c r="E7" s="11">
        <v>10732667</v>
      </c>
      <c r="F7" s="11">
        <v>4609850</v>
      </c>
      <c r="G7" s="11">
        <v>6539941</v>
      </c>
      <c r="H7" s="11">
        <v>50473</v>
      </c>
      <c r="I7" s="11">
        <v>2678211.2400000002</v>
      </c>
      <c r="J7" s="11">
        <v>933447</v>
      </c>
      <c r="K7" s="11">
        <v>101081</v>
      </c>
      <c r="L7" s="11">
        <v>7426035</v>
      </c>
      <c r="M7" s="11">
        <v>224885</v>
      </c>
      <c r="N7" s="11">
        <v>30564402</v>
      </c>
      <c r="O7" s="11">
        <v>7361034</v>
      </c>
      <c r="P7" s="11">
        <v>260593</v>
      </c>
      <c r="Q7" s="11">
        <v>4336041</v>
      </c>
      <c r="R7" s="11">
        <v>2390936</v>
      </c>
      <c r="S7" s="11">
        <v>45097</v>
      </c>
      <c r="T7" s="11">
        <v>95350</v>
      </c>
      <c r="U7" s="11">
        <v>10441256</v>
      </c>
      <c r="V7" s="11">
        <v>117030</v>
      </c>
      <c r="W7" s="11">
        <v>10244122</v>
      </c>
      <c r="X7" s="11">
        <v>6294538</v>
      </c>
      <c r="Y7" s="11">
        <v>9780</v>
      </c>
      <c r="Z7" s="11">
        <v>6450727</v>
      </c>
      <c r="AA7" s="11">
        <v>566305</v>
      </c>
      <c r="AB7" s="11">
        <v>1792168</v>
      </c>
      <c r="AC7" s="11">
        <v>2402531</v>
      </c>
      <c r="AD7" s="11">
        <v>3479689</v>
      </c>
      <c r="AE7" s="11">
        <v>1117391</v>
      </c>
      <c r="AF7" s="11">
        <v>13307532</v>
      </c>
      <c r="AG7" s="11">
        <v>3235686</v>
      </c>
      <c r="AH7" s="11">
        <v>1910676</v>
      </c>
      <c r="AI7" s="12">
        <f t="shared" si="0"/>
        <v>140251476.24000001</v>
      </c>
    </row>
    <row r="8" spans="1:35" ht="15" customHeight="1" x14ac:dyDescent="0.25">
      <c r="A8" s="3" t="s">
        <v>104</v>
      </c>
      <c r="B8" s="11"/>
      <c r="C8" s="11">
        <v>374636</v>
      </c>
      <c r="D8" s="11"/>
      <c r="E8" s="11">
        <v>3207902</v>
      </c>
      <c r="F8" s="11">
        <v>660367</v>
      </c>
      <c r="G8" s="11">
        <v>769022</v>
      </c>
      <c r="H8" s="11">
        <v>37091</v>
      </c>
      <c r="I8" s="11">
        <v>707361.65</v>
      </c>
      <c r="J8" s="11">
        <v>1131061</v>
      </c>
      <c r="K8" s="11">
        <v>4489183</v>
      </c>
      <c r="L8" s="11">
        <v>4463304</v>
      </c>
      <c r="M8" s="11">
        <v>402484</v>
      </c>
      <c r="N8" s="11">
        <v>5178747</v>
      </c>
      <c r="O8" s="11">
        <v>121942</v>
      </c>
      <c r="P8" s="11">
        <v>145897</v>
      </c>
      <c r="Q8" s="11">
        <v>381698</v>
      </c>
      <c r="R8" s="11">
        <v>105079</v>
      </c>
      <c r="S8" s="11">
        <v>220366</v>
      </c>
      <c r="T8" s="11">
        <v>173068</v>
      </c>
      <c r="U8" s="11"/>
      <c r="V8" s="11">
        <v>99550</v>
      </c>
      <c r="W8" s="11">
        <v>10490281</v>
      </c>
      <c r="X8" s="11">
        <v>0</v>
      </c>
      <c r="Y8" s="11">
        <v>6983</v>
      </c>
      <c r="Z8" s="11">
        <v>2460964</v>
      </c>
      <c r="AA8" s="11">
        <v>328149</v>
      </c>
      <c r="AB8" s="11">
        <v>63652</v>
      </c>
      <c r="AC8" s="11">
        <v>1911204</v>
      </c>
      <c r="AD8" s="11">
        <v>22123</v>
      </c>
      <c r="AE8" s="11">
        <v>160273</v>
      </c>
      <c r="AF8" s="11">
        <v>2022377</v>
      </c>
      <c r="AG8" s="11">
        <v>0</v>
      </c>
      <c r="AH8" s="11">
        <v>84575</v>
      </c>
      <c r="AI8" s="12">
        <f t="shared" si="0"/>
        <v>40219339.649999999</v>
      </c>
    </row>
    <row r="9" spans="1:35" ht="15" customHeight="1" x14ac:dyDescent="0.25">
      <c r="A9" s="3" t="s">
        <v>105</v>
      </c>
      <c r="B9" s="11">
        <v>201951</v>
      </c>
      <c r="C9" s="11">
        <v>912974</v>
      </c>
      <c r="D9" s="11">
        <v>1676030</v>
      </c>
      <c r="E9" s="11">
        <v>3855752</v>
      </c>
      <c r="F9" s="11">
        <v>1484219</v>
      </c>
      <c r="G9" s="11">
        <v>210128</v>
      </c>
      <c r="H9" s="11">
        <v>274762</v>
      </c>
      <c r="I9" s="11">
        <v>272437.92</v>
      </c>
      <c r="J9" s="11">
        <v>1540527</v>
      </c>
      <c r="K9" s="11">
        <v>1057673</v>
      </c>
      <c r="L9" s="11">
        <v>3307008</v>
      </c>
      <c r="M9" s="11">
        <v>70767</v>
      </c>
      <c r="N9" s="11">
        <v>5235060</v>
      </c>
      <c r="O9" s="11">
        <v>1544742</v>
      </c>
      <c r="P9" s="11">
        <v>56377</v>
      </c>
      <c r="Q9" s="11">
        <v>433987</v>
      </c>
      <c r="R9" s="11">
        <v>451330</v>
      </c>
      <c r="S9" s="11">
        <v>33185</v>
      </c>
      <c r="T9" s="11">
        <v>1063487</v>
      </c>
      <c r="U9" s="11">
        <v>35090512</v>
      </c>
      <c r="V9" s="11">
        <v>120619</v>
      </c>
      <c r="W9" s="11">
        <v>45671163</v>
      </c>
      <c r="X9" s="11">
        <v>34428750</v>
      </c>
      <c r="Y9" s="11">
        <v>285537</v>
      </c>
      <c r="Z9" s="11">
        <v>3816742</v>
      </c>
      <c r="AA9" s="11">
        <v>1805311</v>
      </c>
      <c r="AB9" s="11">
        <v>1447176</v>
      </c>
      <c r="AC9" s="11">
        <v>378828</v>
      </c>
      <c r="AD9" s="11">
        <v>422905</v>
      </c>
      <c r="AE9" s="11">
        <v>2100058</v>
      </c>
      <c r="AF9" s="11">
        <v>2989226</v>
      </c>
      <c r="AG9" s="11">
        <v>27149662</v>
      </c>
      <c r="AH9" s="11">
        <v>561828</v>
      </c>
      <c r="AI9" s="12">
        <f t="shared" si="0"/>
        <v>179950713.92000002</v>
      </c>
    </row>
    <row r="10" spans="1:35" ht="15" customHeight="1" x14ac:dyDescent="0.25">
      <c r="A10" s="3" t="s">
        <v>106</v>
      </c>
      <c r="B10" s="11">
        <v>17400</v>
      </c>
      <c r="C10" s="11">
        <v>91710</v>
      </c>
      <c r="D10" s="11"/>
      <c r="E10" s="11"/>
      <c r="F10" s="11"/>
      <c r="G10" s="11"/>
      <c r="H10" s="11">
        <v>25961</v>
      </c>
      <c r="I10" s="11"/>
      <c r="J10" s="11"/>
      <c r="K10" s="11">
        <v>20481</v>
      </c>
      <c r="L10" s="11">
        <v>48388</v>
      </c>
      <c r="M10" s="11"/>
      <c r="N10" s="11">
        <v>106816</v>
      </c>
      <c r="O10" s="11">
        <v>3356</v>
      </c>
      <c r="P10" s="11">
        <v>33050</v>
      </c>
      <c r="Q10" s="11"/>
      <c r="R10" s="11"/>
      <c r="S10" s="11"/>
      <c r="T10" s="11"/>
      <c r="U10" s="11"/>
      <c r="V10" s="11"/>
      <c r="W10" s="11"/>
      <c r="X10" s="11">
        <v>0</v>
      </c>
      <c r="Y10" s="11"/>
      <c r="Z10" s="11"/>
      <c r="AA10" s="11"/>
      <c r="AB10" s="11"/>
      <c r="AC10" s="11">
        <v>153778</v>
      </c>
      <c r="AD10" s="11"/>
      <c r="AE10" s="11"/>
      <c r="AF10" s="11"/>
      <c r="AG10" s="11">
        <v>0</v>
      </c>
      <c r="AH10" s="11"/>
      <c r="AI10" s="12">
        <f t="shared" si="0"/>
        <v>500940</v>
      </c>
    </row>
    <row r="11" spans="1:35" ht="15" customHeight="1" x14ac:dyDescent="0.25">
      <c r="A11" s="3" t="s">
        <v>107</v>
      </c>
      <c r="B11" s="11">
        <v>833078</v>
      </c>
      <c r="C11" s="11">
        <v>1211381</v>
      </c>
      <c r="D11" s="11">
        <v>23357958</v>
      </c>
      <c r="E11" s="11">
        <v>90493021</v>
      </c>
      <c r="F11" s="11">
        <v>26209014</v>
      </c>
      <c r="G11" s="11">
        <v>57323354</v>
      </c>
      <c r="H11" s="11">
        <v>1111632</v>
      </c>
      <c r="I11" s="11">
        <v>68998543.780000001</v>
      </c>
      <c r="J11" s="11">
        <v>23675921</v>
      </c>
      <c r="K11" s="11">
        <v>11781992</v>
      </c>
      <c r="L11" s="11">
        <v>50561056</v>
      </c>
      <c r="M11" s="11">
        <v>3156860</v>
      </c>
      <c r="N11" s="11">
        <v>180665361</v>
      </c>
      <c r="O11" s="11">
        <v>57636222</v>
      </c>
      <c r="P11" s="11">
        <v>2744384</v>
      </c>
      <c r="Q11" s="11">
        <v>9710593</v>
      </c>
      <c r="R11" s="11">
        <v>13322535</v>
      </c>
      <c r="S11" s="11">
        <v>730943</v>
      </c>
      <c r="T11" s="11">
        <v>1713044</v>
      </c>
      <c r="U11" s="11">
        <v>183367650</v>
      </c>
      <c r="V11" s="11">
        <v>821857</v>
      </c>
      <c r="W11" s="11">
        <v>273494220</v>
      </c>
      <c r="X11" s="11">
        <v>144652221</v>
      </c>
      <c r="Y11" s="11">
        <v>2501733</v>
      </c>
      <c r="Z11" s="11">
        <v>67624788</v>
      </c>
      <c r="AA11" s="11">
        <v>3525046</v>
      </c>
      <c r="AB11" s="11">
        <v>36039101</v>
      </c>
      <c r="AC11" s="11">
        <v>32938205</v>
      </c>
      <c r="AD11" s="11">
        <v>65501800</v>
      </c>
      <c r="AE11" s="11">
        <v>5569208</v>
      </c>
      <c r="AF11" s="11">
        <v>58993900</v>
      </c>
      <c r="AG11" s="11">
        <v>220721110</v>
      </c>
      <c r="AH11" s="11">
        <v>13784549</v>
      </c>
      <c r="AI11" s="12">
        <f t="shared" si="0"/>
        <v>1734772280.78</v>
      </c>
    </row>
    <row r="12" spans="1:35" ht="15" customHeight="1" x14ac:dyDescent="0.25">
      <c r="A12" s="3" t="s">
        <v>108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>
        <v>3600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>
        <v>0</v>
      </c>
      <c r="Y12" s="11"/>
      <c r="Z12" s="11"/>
      <c r="AA12" s="11"/>
      <c r="AB12" s="11">
        <v>4632</v>
      </c>
      <c r="AC12" s="11"/>
      <c r="AD12" s="11"/>
      <c r="AE12" s="11"/>
      <c r="AF12" s="11">
        <v>3600</v>
      </c>
      <c r="AG12" s="11"/>
      <c r="AH12" s="11"/>
      <c r="AI12" s="12">
        <f t="shared" si="0"/>
        <v>11832</v>
      </c>
    </row>
    <row r="13" spans="1:35" ht="15" customHeight="1" x14ac:dyDescent="0.25">
      <c r="A13" s="3" t="s">
        <v>109</v>
      </c>
      <c r="B13" s="11"/>
      <c r="C13" s="11">
        <v>928</v>
      </c>
      <c r="D13" s="11">
        <v>549665</v>
      </c>
      <c r="E13" s="11">
        <v>74011</v>
      </c>
      <c r="F13" s="11">
        <v>361707</v>
      </c>
      <c r="G13" s="11">
        <v>23194</v>
      </c>
      <c r="H13" s="11">
        <v>68</v>
      </c>
      <c r="I13" s="11">
        <v>18771.71</v>
      </c>
      <c r="J13" s="11">
        <v>181027</v>
      </c>
      <c r="K13" s="11"/>
      <c r="L13" s="11">
        <v>251885</v>
      </c>
      <c r="M13" s="11">
        <v>31893</v>
      </c>
      <c r="N13" s="11">
        <v>3914749</v>
      </c>
      <c r="O13" s="11">
        <v>291428</v>
      </c>
      <c r="P13" s="11">
        <v>1049</v>
      </c>
      <c r="Q13" s="11">
        <v>16825</v>
      </c>
      <c r="R13" s="11">
        <v>27827</v>
      </c>
      <c r="S13" s="11">
        <v>12554</v>
      </c>
      <c r="T13" s="11">
        <v>15110</v>
      </c>
      <c r="U13" s="11">
        <v>884882</v>
      </c>
      <c r="V13" s="11">
        <v>460</v>
      </c>
      <c r="W13" s="11">
        <v>2231830</v>
      </c>
      <c r="X13" s="11">
        <v>1017295</v>
      </c>
      <c r="Y13" s="11">
        <v>9506</v>
      </c>
      <c r="Z13" s="11">
        <v>959461</v>
      </c>
      <c r="AA13" s="11">
        <v>20561</v>
      </c>
      <c r="AB13" s="11">
        <v>70870</v>
      </c>
      <c r="AC13" s="11">
        <v>63291</v>
      </c>
      <c r="AD13" s="11">
        <v>544651</v>
      </c>
      <c r="AE13" s="11">
        <v>102214</v>
      </c>
      <c r="AF13" s="11">
        <v>308882</v>
      </c>
      <c r="AG13" s="11">
        <v>2068328</v>
      </c>
      <c r="AH13" s="8">
        <f>8649+77491</f>
        <v>86140</v>
      </c>
      <c r="AI13" s="12">
        <f t="shared" si="0"/>
        <v>14141062.710000001</v>
      </c>
    </row>
    <row r="14" spans="1:35" x14ac:dyDescent="0.25">
      <c r="A14" s="3" t="s">
        <v>42</v>
      </c>
      <c r="B14" s="11">
        <f>B15-B13-B12-B11-B10-B9-B8-B7-B6-B5-B4</f>
        <v>184146</v>
      </c>
      <c r="C14" s="11">
        <f t="shared" ref="C14:AH14" si="1">C15-C13-C12-C11-C10-C9-C8-C7-C6-C5-C4</f>
        <v>439521</v>
      </c>
      <c r="D14" s="11">
        <f t="shared" si="1"/>
        <v>34791163</v>
      </c>
      <c r="E14" s="11">
        <f t="shared" si="1"/>
        <v>3265492</v>
      </c>
      <c r="F14" s="11">
        <f t="shared" si="1"/>
        <v>1407500</v>
      </c>
      <c r="G14" s="11">
        <f t="shared" si="1"/>
        <v>1850529</v>
      </c>
      <c r="H14" s="11">
        <f t="shared" si="1"/>
        <v>19819</v>
      </c>
      <c r="I14" s="11">
        <f t="shared" si="1"/>
        <v>759539.26999999885</v>
      </c>
      <c r="J14" s="11">
        <f t="shared" si="1"/>
        <v>208902</v>
      </c>
      <c r="K14" s="11">
        <f t="shared" si="1"/>
        <v>674137</v>
      </c>
      <c r="L14" s="11">
        <f t="shared" si="1"/>
        <v>456199</v>
      </c>
      <c r="M14" s="11">
        <f t="shared" si="1"/>
        <v>896790</v>
      </c>
      <c r="N14" s="11">
        <f t="shared" si="1"/>
        <v>2002268</v>
      </c>
      <c r="O14" s="11">
        <f t="shared" si="1"/>
        <v>1374589</v>
      </c>
      <c r="P14" s="11">
        <f t="shared" si="1"/>
        <v>359682</v>
      </c>
      <c r="Q14" s="11">
        <f t="shared" si="1"/>
        <v>405822</v>
      </c>
      <c r="R14" s="11">
        <f t="shared" si="1"/>
        <v>317612</v>
      </c>
      <c r="S14" s="11">
        <f t="shared" si="1"/>
        <v>572763</v>
      </c>
      <c r="T14" s="11">
        <f t="shared" si="1"/>
        <v>229712</v>
      </c>
      <c r="U14" s="11">
        <f t="shared" si="1"/>
        <v>7911258</v>
      </c>
      <c r="V14" s="11">
        <f t="shared" si="1"/>
        <v>28506</v>
      </c>
      <c r="W14" s="11">
        <f t="shared" si="1"/>
        <v>831822</v>
      </c>
      <c r="X14" s="11">
        <f t="shared" si="1"/>
        <v>61127698</v>
      </c>
      <c r="Y14" s="11">
        <f t="shared" si="1"/>
        <v>31158</v>
      </c>
      <c r="Z14" s="11">
        <f t="shared" si="1"/>
        <v>2154658</v>
      </c>
      <c r="AA14" s="11">
        <f t="shared" si="1"/>
        <v>680155</v>
      </c>
      <c r="AB14" s="11">
        <f t="shared" si="1"/>
        <v>205289</v>
      </c>
      <c r="AC14" s="11">
        <f t="shared" si="1"/>
        <v>546803</v>
      </c>
      <c r="AD14" s="11">
        <f t="shared" si="1"/>
        <v>1446163</v>
      </c>
      <c r="AE14" s="11">
        <f t="shared" si="1"/>
        <v>1398336</v>
      </c>
      <c r="AF14" s="11">
        <f t="shared" si="1"/>
        <v>1066848</v>
      </c>
      <c r="AG14" s="11">
        <f t="shared" si="1"/>
        <v>1330</v>
      </c>
      <c r="AH14" s="11">
        <f t="shared" si="1"/>
        <v>43315</v>
      </c>
      <c r="AI14" s="12">
        <f t="shared" si="0"/>
        <v>127689524.27</v>
      </c>
    </row>
    <row r="15" spans="1:35" s="9" customFormat="1" x14ac:dyDescent="0.25">
      <c r="A15" s="4" t="s">
        <v>52</v>
      </c>
      <c r="B15" s="12">
        <v>2138439</v>
      </c>
      <c r="C15" s="12">
        <v>4221028</v>
      </c>
      <c r="D15" s="12">
        <v>110692521</v>
      </c>
      <c r="E15" s="12">
        <v>120577172</v>
      </c>
      <c r="F15" s="12">
        <v>41049509</v>
      </c>
      <c r="G15" s="12">
        <v>70254569</v>
      </c>
      <c r="H15" s="12">
        <v>1673560</v>
      </c>
      <c r="I15" s="12">
        <v>74752127.849999994</v>
      </c>
      <c r="J15" s="12">
        <v>32245990</v>
      </c>
      <c r="K15" s="12">
        <v>23226268</v>
      </c>
      <c r="L15" s="12">
        <v>84830434</v>
      </c>
      <c r="M15" s="12">
        <v>6236904</v>
      </c>
      <c r="N15" s="12">
        <v>241646922</v>
      </c>
      <c r="O15" s="12">
        <v>84993876</v>
      </c>
      <c r="P15" s="12">
        <v>3712149</v>
      </c>
      <c r="Q15" s="12">
        <v>16180171</v>
      </c>
      <c r="R15" s="12">
        <v>17993776</v>
      </c>
      <c r="S15" s="12">
        <v>1699963</v>
      </c>
      <c r="T15" s="12">
        <v>4064103</v>
      </c>
      <c r="U15" s="12">
        <v>300004114</v>
      </c>
      <c r="V15" s="12">
        <v>1215779</v>
      </c>
      <c r="W15" s="12">
        <v>359564042</v>
      </c>
      <c r="X15" s="12">
        <v>266452073</v>
      </c>
      <c r="Y15" s="12">
        <v>3091920</v>
      </c>
      <c r="Z15" s="12">
        <v>96381607</v>
      </c>
      <c r="AA15" s="12">
        <v>7514210</v>
      </c>
      <c r="AB15" s="12">
        <v>46700036</v>
      </c>
      <c r="AC15" s="12">
        <v>48019221</v>
      </c>
      <c r="AD15" s="12">
        <v>71995048</v>
      </c>
      <c r="AE15" s="12">
        <v>10820200</v>
      </c>
      <c r="AF15" s="12">
        <v>91095423</v>
      </c>
      <c r="AG15" s="12">
        <v>285996900</v>
      </c>
      <c r="AH15" s="12">
        <v>20254781</v>
      </c>
      <c r="AI15" s="12">
        <f t="shared" si="0"/>
        <v>2551294835.8499999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6.5703125" style="54" bestFit="1" customWidth="1"/>
    <col min="2" max="4" width="12.85546875" style="8" customWidth="1"/>
    <col min="5" max="5" width="12.85546875" style="54" customWidth="1"/>
    <col min="6" max="6" width="12.85546875" style="57" customWidth="1"/>
    <col min="7" max="7" width="12.85546875" style="8" customWidth="1"/>
    <col min="8" max="10" width="12.85546875" style="54" customWidth="1"/>
    <col min="11" max="11" width="12.85546875" style="57" customWidth="1"/>
    <col min="12" max="16" width="12.85546875" style="54" customWidth="1"/>
    <col min="17" max="17" width="12.85546875" style="8" customWidth="1"/>
    <col min="18" max="18" width="14.7109375" style="54" customWidth="1"/>
    <col min="19" max="19" width="12.85546875" style="54" customWidth="1"/>
    <col min="20" max="20" width="14.85546875" style="54" customWidth="1"/>
    <col min="21" max="21" width="12.85546875" style="87" customWidth="1"/>
    <col min="22" max="22" width="12.85546875" style="54" customWidth="1"/>
    <col min="23" max="23" width="14" style="54" customWidth="1"/>
    <col min="24" max="25" width="12.85546875" style="54" customWidth="1"/>
    <col min="26" max="26" width="12.85546875" style="57" customWidth="1"/>
    <col min="27" max="30" width="12.85546875" style="54" customWidth="1"/>
    <col min="31" max="31" width="12.85546875" style="57" customWidth="1"/>
    <col min="32" max="32" width="12.85546875" style="8" customWidth="1"/>
    <col min="33" max="35" width="12.85546875" style="54" customWidth="1"/>
    <col min="36" max="36" width="12.85546875" style="57" customWidth="1"/>
    <col min="37" max="37" width="12.85546875" style="8" customWidth="1"/>
    <col min="38" max="40" width="12.85546875" style="54" customWidth="1"/>
    <col min="41" max="41" width="12.85546875" style="57" customWidth="1"/>
    <col min="42" max="42" width="12.85546875" style="54" customWidth="1"/>
    <col min="43" max="45" width="12.85546875" style="8" customWidth="1"/>
    <col min="46" max="46" width="12.85546875" style="54" customWidth="1"/>
    <col min="47" max="50" width="12.85546875" style="8" customWidth="1"/>
    <col min="51" max="51" width="12.85546875" style="57" customWidth="1"/>
    <col min="52" max="55" width="12.85546875" style="8" customWidth="1"/>
    <col min="56" max="56" width="12.85546875" style="57" customWidth="1"/>
    <col min="57" max="59" width="12.85546875" style="8" customWidth="1"/>
    <col min="60" max="60" width="12.85546875" style="54" customWidth="1"/>
    <col min="61" max="61" width="12.85546875" style="86" customWidth="1"/>
    <col min="62" max="65" width="12.85546875" style="8" customWidth="1"/>
    <col min="66" max="67" width="12.85546875" style="54" customWidth="1"/>
    <col min="68" max="70" width="12.85546875" style="8" customWidth="1"/>
    <col min="71" max="71" width="12.85546875" style="54" customWidth="1"/>
    <col min="72" max="75" width="12.85546875" style="8" customWidth="1"/>
    <col min="76" max="76" width="12.85546875" style="57" customWidth="1"/>
    <col min="77" max="77" width="12.85546875" style="54" customWidth="1"/>
    <col min="78" max="80" width="12.85546875" style="8" customWidth="1"/>
    <col min="81" max="82" width="12.85546875" style="54" customWidth="1"/>
    <col min="83" max="85" width="12.85546875" style="8" customWidth="1"/>
    <col min="86" max="92" width="12.85546875" style="54" customWidth="1"/>
    <col min="93" max="95" width="12.85546875" style="8" customWidth="1"/>
    <col min="96" max="96" width="12.85546875" style="89" customWidth="1"/>
    <col min="97" max="100" width="12.85546875" style="54" customWidth="1"/>
    <col min="101" max="101" width="12.85546875" style="57" customWidth="1"/>
    <col min="102" max="102" width="12.85546875" style="8" customWidth="1"/>
    <col min="103" max="105" width="12.85546875" style="54" customWidth="1"/>
    <col min="106" max="106" width="12.85546875" style="57" customWidth="1"/>
    <col min="107" max="107" width="12.85546875" style="54" customWidth="1"/>
    <col min="108" max="110" width="12.85546875" style="8" customWidth="1"/>
    <col min="111" max="115" width="12.85546875" style="54" customWidth="1"/>
    <col min="116" max="116" width="12.85546875" style="57" customWidth="1"/>
    <col min="117" max="120" width="12.85546875" style="8" customWidth="1"/>
    <col min="121" max="121" width="12.85546875" style="54" customWidth="1"/>
    <col min="122" max="122" width="12.85546875" style="8" customWidth="1"/>
    <col min="123" max="125" width="12.85546875" style="54" customWidth="1"/>
    <col min="126" max="126" width="12.85546875" style="57" customWidth="1"/>
    <col min="127" max="129" width="12.85546875" style="8" customWidth="1"/>
    <col min="130" max="130" width="12.85546875" style="54" customWidth="1"/>
    <col min="131" max="131" width="12.85546875" style="57" customWidth="1"/>
    <col min="132" max="132" width="12.85546875" style="89" customWidth="1"/>
    <col min="133" max="134" width="12.85546875" style="57" customWidth="1"/>
    <col min="135" max="135" width="12.85546875" style="92" customWidth="1"/>
    <col min="136" max="136" width="12.85546875" style="57" customWidth="1"/>
    <col min="137" max="137" width="12.85546875" style="8" customWidth="1"/>
    <col min="138" max="140" width="12.85546875" style="54" customWidth="1"/>
    <col min="141" max="141" width="12.85546875" style="57" customWidth="1"/>
    <col min="142" max="146" width="12.85546875" style="54" customWidth="1"/>
    <col min="147" max="147" width="12.85546875" style="8" customWidth="1"/>
    <col min="148" max="150" width="12.85546875" style="54" customWidth="1"/>
    <col min="151" max="151" width="12.85546875" style="86" customWidth="1"/>
    <col min="152" max="155" width="12.85546875" style="8" customWidth="1"/>
    <col min="156" max="156" width="12.85546875" style="57" customWidth="1"/>
    <col min="157" max="157" width="12.85546875" style="8" customWidth="1"/>
    <col min="158" max="160" width="12.85546875" style="54" customWidth="1"/>
    <col min="161" max="161" width="12.85546875" style="57" customWidth="1"/>
    <col min="162" max="165" width="12.85546875" style="54" customWidth="1"/>
    <col min="166" max="166" width="12.85546875" style="57" customWidth="1"/>
    <col min="167" max="16384" width="9.140625" style="54"/>
  </cols>
  <sheetData>
    <row r="1" spans="1:166" ht="34.5" x14ac:dyDescent="0.25">
      <c r="A1" s="68" t="s">
        <v>284</v>
      </c>
    </row>
    <row r="2" spans="1:166" x14ac:dyDescent="0.25">
      <c r="A2" s="55" t="s">
        <v>0</v>
      </c>
      <c r="B2" s="112" t="s">
        <v>1</v>
      </c>
      <c r="C2" s="112"/>
      <c r="D2" s="112"/>
      <c r="E2" s="112"/>
      <c r="F2" s="112"/>
      <c r="G2" s="112" t="s">
        <v>2</v>
      </c>
      <c r="H2" s="112"/>
      <c r="I2" s="112"/>
      <c r="J2" s="112"/>
      <c r="K2" s="112"/>
      <c r="L2" s="112" t="s">
        <v>3</v>
      </c>
      <c r="M2" s="112"/>
      <c r="N2" s="112"/>
      <c r="O2" s="112"/>
      <c r="P2" s="112"/>
      <c r="Q2" s="112" t="s">
        <v>4</v>
      </c>
      <c r="R2" s="112"/>
      <c r="S2" s="112"/>
      <c r="T2" s="112"/>
      <c r="U2" s="112"/>
      <c r="V2" s="112" t="s">
        <v>5</v>
      </c>
      <c r="W2" s="112"/>
      <c r="X2" s="112"/>
      <c r="Y2" s="112"/>
      <c r="Z2" s="112"/>
      <c r="AA2" s="112" t="s">
        <v>6</v>
      </c>
      <c r="AB2" s="112"/>
      <c r="AC2" s="112"/>
      <c r="AD2" s="112"/>
      <c r="AE2" s="112"/>
      <c r="AF2" s="112" t="s">
        <v>7</v>
      </c>
      <c r="AG2" s="112"/>
      <c r="AH2" s="112"/>
      <c r="AI2" s="112"/>
      <c r="AJ2" s="112"/>
      <c r="AK2" s="112" t="s">
        <v>8</v>
      </c>
      <c r="AL2" s="112"/>
      <c r="AM2" s="112"/>
      <c r="AN2" s="112"/>
      <c r="AO2" s="112"/>
      <c r="AP2" s="112" t="s">
        <v>9</v>
      </c>
      <c r="AQ2" s="112"/>
      <c r="AR2" s="112"/>
      <c r="AS2" s="112"/>
      <c r="AT2" s="112"/>
      <c r="AU2" s="112" t="s">
        <v>301</v>
      </c>
      <c r="AV2" s="112"/>
      <c r="AW2" s="112"/>
      <c r="AX2" s="112"/>
      <c r="AY2" s="112"/>
      <c r="AZ2" s="112" t="s">
        <v>308</v>
      </c>
      <c r="BA2" s="112"/>
      <c r="BB2" s="112"/>
      <c r="BC2" s="112"/>
      <c r="BD2" s="112"/>
      <c r="BE2" s="112" t="s">
        <v>293</v>
      </c>
      <c r="BF2" s="112"/>
      <c r="BG2" s="112"/>
      <c r="BH2" s="112"/>
      <c r="BI2" s="112"/>
      <c r="BJ2" s="112" t="s">
        <v>12</v>
      </c>
      <c r="BK2" s="112"/>
      <c r="BL2" s="112"/>
      <c r="BM2" s="112"/>
      <c r="BN2" s="112"/>
      <c r="BO2" s="112" t="s">
        <v>13</v>
      </c>
      <c r="BP2" s="112"/>
      <c r="BQ2" s="112"/>
      <c r="BR2" s="112"/>
      <c r="BS2" s="112"/>
      <c r="BT2" s="112" t="s">
        <v>14</v>
      </c>
      <c r="BU2" s="112"/>
      <c r="BV2" s="112"/>
      <c r="BW2" s="112"/>
      <c r="BX2" s="112"/>
      <c r="BY2" s="112" t="s">
        <v>15</v>
      </c>
      <c r="BZ2" s="112"/>
      <c r="CA2" s="112"/>
      <c r="CB2" s="112"/>
      <c r="CC2" s="112"/>
      <c r="CD2" s="112" t="s">
        <v>16</v>
      </c>
      <c r="CE2" s="112"/>
      <c r="CF2" s="112"/>
      <c r="CG2" s="112"/>
      <c r="CH2" s="112"/>
      <c r="CI2" s="112" t="s">
        <v>295</v>
      </c>
      <c r="CJ2" s="112"/>
      <c r="CK2" s="112"/>
      <c r="CL2" s="112"/>
      <c r="CM2" s="112"/>
      <c r="CN2" s="112" t="s">
        <v>17</v>
      </c>
      <c r="CO2" s="112"/>
      <c r="CP2" s="112"/>
      <c r="CQ2" s="112"/>
      <c r="CR2" s="112"/>
      <c r="CS2" s="112" t="s">
        <v>18</v>
      </c>
      <c r="CT2" s="112"/>
      <c r="CU2" s="112"/>
      <c r="CV2" s="112"/>
      <c r="CW2" s="112"/>
      <c r="CX2" s="112" t="s">
        <v>294</v>
      </c>
      <c r="CY2" s="112"/>
      <c r="CZ2" s="112"/>
      <c r="DA2" s="112"/>
      <c r="DB2" s="112"/>
      <c r="DC2" s="112" t="s">
        <v>19</v>
      </c>
      <c r="DD2" s="112"/>
      <c r="DE2" s="112"/>
      <c r="DF2" s="112"/>
      <c r="DG2" s="112"/>
      <c r="DH2" s="112" t="s">
        <v>20</v>
      </c>
      <c r="DI2" s="112"/>
      <c r="DJ2" s="112"/>
      <c r="DK2" s="112"/>
      <c r="DL2" s="112"/>
      <c r="DM2" s="112" t="s">
        <v>306</v>
      </c>
      <c r="DN2" s="112"/>
      <c r="DO2" s="112"/>
      <c r="DP2" s="112"/>
      <c r="DQ2" s="112"/>
      <c r="DR2" s="112" t="s">
        <v>22</v>
      </c>
      <c r="DS2" s="112"/>
      <c r="DT2" s="112"/>
      <c r="DU2" s="112"/>
      <c r="DV2" s="112"/>
      <c r="DW2" s="112" t="s">
        <v>23</v>
      </c>
      <c r="DX2" s="112"/>
      <c r="DY2" s="112"/>
      <c r="DZ2" s="112"/>
      <c r="EA2" s="112"/>
      <c r="EB2" s="112" t="s">
        <v>24</v>
      </c>
      <c r="EC2" s="112"/>
      <c r="ED2" s="112"/>
      <c r="EE2" s="112"/>
      <c r="EF2" s="112"/>
      <c r="EG2" s="112" t="s">
        <v>25</v>
      </c>
      <c r="EH2" s="112"/>
      <c r="EI2" s="112"/>
      <c r="EJ2" s="112"/>
      <c r="EK2" s="112"/>
      <c r="EL2" s="112" t="s">
        <v>26</v>
      </c>
      <c r="EM2" s="112"/>
      <c r="EN2" s="112"/>
      <c r="EO2" s="112"/>
      <c r="EP2" s="112"/>
      <c r="EQ2" s="112" t="s">
        <v>27</v>
      </c>
      <c r="ER2" s="112"/>
      <c r="ES2" s="112"/>
      <c r="ET2" s="112"/>
      <c r="EU2" s="112"/>
      <c r="EV2" s="112" t="s">
        <v>28</v>
      </c>
      <c r="EW2" s="112"/>
      <c r="EX2" s="112"/>
      <c r="EY2" s="112"/>
      <c r="EZ2" s="112"/>
      <c r="FA2" s="112" t="s">
        <v>307</v>
      </c>
      <c r="FB2" s="112"/>
      <c r="FC2" s="112"/>
      <c r="FD2" s="112"/>
      <c r="FE2" s="112"/>
      <c r="FF2" s="112" t="s">
        <v>30</v>
      </c>
      <c r="FG2" s="112"/>
      <c r="FH2" s="112"/>
      <c r="FI2" s="112"/>
      <c r="FJ2" s="112"/>
    </row>
    <row r="3" spans="1:166" ht="15" customHeight="1" x14ac:dyDescent="0.25">
      <c r="A3" s="105" t="s">
        <v>179</v>
      </c>
      <c r="B3" s="107" t="s">
        <v>173</v>
      </c>
      <c r="C3" s="105" t="s">
        <v>174</v>
      </c>
      <c r="D3" s="105"/>
      <c r="E3" s="105"/>
      <c r="F3" s="106" t="s">
        <v>175</v>
      </c>
      <c r="G3" s="107" t="s">
        <v>173</v>
      </c>
      <c r="H3" s="105" t="s">
        <v>174</v>
      </c>
      <c r="I3" s="105"/>
      <c r="J3" s="105"/>
      <c r="K3" s="106" t="s">
        <v>175</v>
      </c>
      <c r="L3" s="105" t="s">
        <v>173</v>
      </c>
      <c r="M3" s="105" t="s">
        <v>174</v>
      </c>
      <c r="N3" s="105"/>
      <c r="O3" s="105"/>
      <c r="P3" s="105" t="s">
        <v>175</v>
      </c>
      <c r="Q3" s="107" t="s">
        <v>173</v>
      </c>
      <c r="R3" s="105" t="s">
        <v>174</v>
      </c>
      <c r="S3" s="105"/>
      <c r="T3" s="105"/>
      <c r="U3" s="111" t="s">
        <v>175</v>
      </c>
      <c r="V3" s="105" t="s">
        <v>173</v>
      </c>
      <c r="W3" s="105" t="s">
        <v>174</v>
      </c>
      <c r="X3" s="105"/>
      <c r="Y3" s="105"/>
      <c r="Z3" s="106" t="s">
        <v>175</v>
      </c>
      <c r="AA3" s="105" t="s">
        <v>173</v>
      </c>
      <c r="AB3" s="105" t="s">
        <v>174</v>
      </c>
      <c r="AC3" s="105"/>
      <c r="AD3" s="105"/>
      <c r="AE3" s="106" t="s">
        <v>175</v>
      </c>
      <c r="AF3" s="107" t="s">
        <v>173</v>
      </c>
      <c r="AG3" s="105" t="s">
        <v>174</v>
      </c>
      <c r="AH3" s="105"/>
      <c r="AI3" s="105"/>
      <c r="AJ3" s="106" t="s">
        <v>175</v>
      </c>
      <c r="AK3" s="107" t="s">
        <v>173</v>
      </c>
      <c r="AL3" s="105" t="s">
        <v>174</v>
      </c>
      <c r="AM3" s="105"/>
      <c r="AN3" s="105"/>
      <c r="AO3" s="106" t="s">
        <v>175</v>
      </c>
      <c r="AP3" s="105" t="s">
        <v>173</v>
      </c>
      <c r="AQ3" s="107" t="s">
        <v>174</v>
      </c>
      <c r="AR3" s="107"/>
      <c r="AS3" s="107"/>
      <c r="AT3" s="105" t="s">
        <v>175</v>
      </c>
      <c r="AU3" s="107" t="s">
        <v>173</v>
      </c>
      <c r="AV3" s="107" t="s">
        <v>174</v>
      </c>
      <c r="AW3" s="107"/>
      <c r="AX3" s="107"/>
      <c r="AY3" s="106" t="s">
        <v>175</v>
      </c>
      <c r="AZ3" s="107" t="s">
        <v>173</v>
      </c>
      <c r="BA3" s="107" t="s">
        <v>174</v>
      </c>
      <c r="BB3" s="107"/>
      <c r="BC3" s="107"/>
      <c r="BD3" s="106" t="s">
        <v>175</v>
      </c>
      <c r="BE3" s="107" t="s">
        <v>173</v>
      </c>
      <c r="BF3" s="105" t="s">
        <v>174</v>
      </c>
      <c r="BG3" s="105"/>
      <c r="BH3" s="105"/>
      <c r="BI3" s="109" t="s">
        <v>175</v>
      </c>
      <c r="BJ3" s="107" t="s">
        <v>173</v>
      </c>
      <c r="BK3" s="107" t="s">
        <v>174</v>
      </c>
      <c r="BL3" s="107"/>
      <c r="BM3" s="107"/>
      <c r="BN3" s="105" t="s">
        <v>175</v>
      </c>
      <c r="BO3" s="105" t="s">
        <v>173</v>
      </c>
      <c r="BP3" s="107" t="s">
        <v>174</v>
      </c>
      <c r="BQ3" s="107"/>
      <c r="BR3" s="107"/>
      <c r="BS3" s="105" t="s">
        <v>175</v>
      </c>
      <c r="BT3" s="107" t="s">
        <v>173</v>
      </c>
      <c r="BU3" s="107" t="s">
        <v>174</v>
      </c>
      <c r="BV3" s="107"/>
      <c r="BW3" s="107"/>
      <c r="BX3" s="106" t="s">
        <v>175</v>
      </c>
      <c r="BY3" s="105" t="s">
        <v>173</v>
      </c>
      <c r="BZ3" s="107" t="s">
        <v>174</v>
      </c>
      <c r="CA3" s="107"/>
      <c r="CB3" s="107"/>
      <c r="CC3" s="105" t="s">
        <v>175</v>
      </c>
      <c r="CD3" s="105" t="s">
        <v>173</v>
      </c>
      <c r="CE3" s="107" t="s">
        <v>174</v>
      </c>
      <c r="CF3" s="107"/>
      <c r="CG3" s="107"/>
      <c r="CH3" s="105" t="s">
        <v>175</v>
      </c>
      <c r="CI3" s="105" t="s">
        <v>173</v>
      </c>
      <c r="CJ3" s="105" t="s">
        <v>174</v>
      </c>
      <c r="CK3" s="105"/>
      <c r="CL3" s="105"/>
      <c r="CM3" s="105" t="s">
        <v>175</v>
      </c>
      <c r="CN3" s="105" t="s">
        <v>173</v>
      </c>
      <c r="CO3" s="107" t="s">
        <v>174</v>
      </c>
      <c r="CP3" s="107"/>
      <c r="CQ3" s="107"/>
      <c r="CR3" s="110" t="s">
        <v>175</v>
      </c>
      <c r="CS3" s="105" t="s">
        <v>173</v>
      </c>
      <c r="CT3" s="105" t="s">
        <v>174</v>
      </c>
      <c r="CU3" s="105"/>
      <c r="CV3" s="105"/>
      <c r="CW3" s="106" t="s">
        <v>175</v>
      </c>
      <c r="CX3" s="107" t="s">
        <v>173</v>
      </c>
      <c r="CY3" s="105" t="s">
        <v>174</v>
      </c>
      <c r="CZ3" s="105"/>
      <c r="DA3" s="105"/>
      <c r="DB3" s="106" t="s">
        <v>175</v>
      </c>
      <c r="DC3" s="105" t="s">
        <v>173</v>
      </c>
      <c r="DD3" s="107" t="s">
        <v>174</v>
      </c>
      <c r="DE3" s="107"/>
      <c r="DF3" s="107"/>
      <c r="DG3" s="108" t="s">
        <v>175</v>
      </c>
      <c r="DH3" s="105" t="s">
        <v>173</v>
      </c>
      <c r="DI3" s="105" t="s">
        <v>174</v>
      </c>
      <c r="DJ3" s="105"/>
      <c r="DK3" s="105"/>
      <c r="DL3" s="106" t="s">
        <v>175</v>
      </c>
      <c r="DM3" s="107" t="s">
        <v>173</v>
      </c>
      <c r="DN3" s="107" t="s">
        <v>174</v>
      </c>
      <c r="DO3" s="107"/>
      <c r="DP3" s="107"/>
      <c r="DQ3" s="108" t="s">
        <v>175</v>
      </c>
      <c r="DR3" s="107" t="s">
        <v>173</v>
      </c>
      <c r="DS3" s="105" t="s">
        <v>174</v>
      </c>
      <c r="DT3" s="105"/>
      <c r="DU3" s="105"/>
      <c r="DV3" s="106" t="s">
        <v>175</v>
      </c>
      <c r="DW3" s="107" t="s">
        <v>173</v>
      </c>
      <c r="DX3" s="105" t="s">
        <v>174</v>
      </c>
      <c r="DY3" s="105"/>
      <c r="DZ3" s="105"/>
      <c r="EA3" s="106" t="s">
        <v>175</v>
      </c>
      <c r="EB3" s="107" t="s">
        <v>173</v>
      </c>
      <c r="EC3" s="105" t="s">
        <v>174</v>
      </c>
      <c r="ED3" s="105"/>
      <c r="EE3" s="105"/>
      <c r="EF3" s="106" t="s">
        <v>175</v>
      </c>
      <c r="EG3" s="107" t="s">
        <v>173</v>
      </c>
      <c r="EH3" s="105" t="s">
        <v>174</v>
      </c>
      <c r="EI3" s="105"/>
      <c r="EJ3" s="105"/>
      <c r="EK3" s="106" t="s">
        <v>175</v>
      </c>
      <c r="EL3" s="105" t="s">
        <v>173</v>
      </c>
      <c r="EM3" s="105" t="s">
        <v>174</v>
      </c>
      <c r="EN3" s="105"/>
      <c r="EO3" s="105"/>
      <c r="EP3" s="108" t="s">
        <v>175</v>
      </c>
      <c r="EQ3" s="107" t="s">
        <v>173</v>
      </c>
      <c r="ER3" s="105" t="s">
        <v>174</v>
      </c>
      <c r="ES3" s="105"/>
      <c r="ET3" s="105"/>
      <c r="EU3" s="109" t="s">
        <v>175</v>
      </c>
      <c r="EV3" s="107" t="s">
        <v>173</v>
      </c>
      <c r="EW3" s="107" t="s">
        <v>174</v>
      </c>
      <c r="EX3" s="107"/>
      <c r="EY3" s="107"/>
      <c r="EZ3" s="106" t="s">
        <v>175</v>
      </c>
      <c r="FA3" s="107" t="s">
        <v>173</v>
      </c>
      <c r="FB3" s="105" t="s">
        <v>174</v>
      </c>
      <c r="FC3" s="105"/>
      <c r="FD3" s="105"/>
      <c r="FE3" s="106" t="s">
        <v>175</v>
      </c>
      <c r="FF3" s="105" t="s">
        <v>173</v>
      </c>
      <c r="FG3" s="105" t="s">
        <v>174</v>
      </c>
      <c r="FH3" s="105"/>
      <c r="FI3" s="105"/>
      <c r="FJ3" s="106" t="s">
        <v>175</v>
      </c>
    </row>
    <row r="4" spans="1:166" ht="30" x14ac:dyDescent="0.25">
      <c r="A4" s="105"/>
      <c r="B4" s="107"/>
      <c r="C4" s="23" t="s">
        <v>176</v>
      </c>
      <c r="D4" s="23" t="s">
        <v>177</v>
      </c>
      <c r="E4" s="25" t="s">
        <v>178</v>
      </c>
      <c r="F4" s="106"/>
      <c r="G4" s="107"/>
      <c r="H4" s="25" t="s">
        <v>176</v>
      </c>
      <c r="I4" s="25" t="s">
        <v>177</v>
      </c>
      <c r="J4" s="25" t="s">
        <v>178</v>
      </c>
      <c r="K4" s="106"/>
      <c r="L4" s="105"/>
      <c r="M4" s="25" t="s">
        <v>176</v>
      </c>
      <c r="N4" s="25" t="s">
        <v>177</v>
      </c>
      <c r="O4" s="25" t="s">
        <v>178</v>
      </c>
      <c r="P4" s="105"/>
      <c r="Q4" s="107"/>
      <c r="R4" s="25" t="s">
        <v>176</v>
      </c>
      <c r="S4" s="25" t="s">
        <v>177</v>
      </c>
      <c r="T4" s="25" t="s">
        <v>178</v>
      </c>
      <c r="U4" s="111"/>
      <c r="V4" s="105"/>
      <c r="W4" s="25" t="s">
        <v>176</v>
      </c>
      <c r="X4" s="25" t="s">
        <v>177</v>
      </c>
      <c r="Y4" s="25" t="s">
        <v>178</v>
      </c>
      <c r="Z4" s="106"/>
      <c r="AA4" s="105"/>
      <c r="AB4" s="25" t="s">
        <v>176</v>
      </c>
      <c r="AC4" s="25" t="s">
        <v>177</v>
      </c>
      <c r="AD4" s="25" t="s">
        <v>178</v>
      </c>
      <c r="AE4" s="106"/>
      <c r="AF4" s="107"/>
      <c r="AG4" s="25" t="s">
        <v>176</v>
      </c>
      <c r="AH4" s="25" t="s">
        <v>177</v>
      </c>
      <c r="AI4" s="25" t="s">
        <v>178</v>
      </c>
      <c r="AJ4" s="106"/>
      <c r="AK4" s="107"/>
      <c r="AL4" s="25" t="s">
        <v>176</v>
      </c>
      <c r="AM4" s="25" t="s">
        <v>177</v>
      </c>
      <c r="AN4" s="25" t="s">
        <v>178</v>
      </c>
      <c r="AO4" s="106"/>
      <c r="AP4" s="105"/>
      <c r="AQ4" s="23" t="s">
        <v>176</v>
      </c>
      <c r="AR4" s="23" t="s">
        <v>177</v>
      </c>
      <c r="AS4" s="23" t="s">
        <v>178</v>
      </c>
      <c r="AT4" s="105"/>
      <c r="AU4" s="107"/>
      <c r="AV4" s="23" t="s">
        <v>176</v>
      </c>
      <c r="AW4" s="23" t="s">
        <v>177</v>
      </c>
      <c r="AX4" s="23" t="s">
        <v>178</v>
      </c>
      <c r="AY4" s="106"/>
      <c r="AZ4" s="107"/>
      <c r="BA4" s="23" t="s">
        <v>176</v>
      </c>
      <c r="BB4" s="23" t="s">
        <v>177</v>
      </c>
      <c r="BC4" s="23" t="s">
        <v>178</v>
      </c>
      <c r="BD4" s="106"/>
      <c r="BE4" s="107"/>
      <c r="BF4" s="23" t="s">
        <v>176</v>
      </c>
      <c r="BG4" s="23" t="s">
        <v>177</v>
      </c>
      <c r="BH4" s="25" t="s">
        <v>178</v>
      </c>
      <c r="BI4" s="109"/>
      <c r="BJ4" s="107"/>
      <c r="BK4" s="23" t="s">
        <v>176</v>
      </c>
      <c r="BL4" s="23" t="s">
        <v>177</v>
      </c>
      <c r="BM4" s="23" t="s">
        <v>178</v>
      </c>
      <c r="BN4" s="105"/>
      <c r="BO4" s="105"/>
      <c r="BP4" s="23" t="s">
        <v>176</v>
      </c>
      <c r="BQ4" s="23" t="s">
        <v>177</v>
      </c>
      <c r="BR4" s="23" t="s">
        <v>178</v>
      </c>
      <c r="BS4" s="105"/>
      <c r="BT4" s="107"/>
      <c r="BU4" s="23" t="s">
        <v>176</v>
      </c>
      <c r="BV4" s="23" t="s">
        <v>177</v>
      </c>
      <c r="BW4" s="23" t="s">
        <v>178</v>
      </c>
      <c r="BX4" s="106"/>
      <c r="BY4" s="105"/>
      <c r="BZ4" s="23" t="s">
        <v>176</v>
      </c>
      <c r="CA4" s="23" t="s">
        <v>177</v>
      </c>
      <c r="CB4" s="23" t="s">
        <v>178</v>
      </c>
      <c r="CC4" s="105"/>
      <c r="CD4" s="105"/>
      <c r="CE4" s="23" t="s">
        <v>176</v>
      </c>
      <c r="CF4" s="23" t="s">
        <v>177</v>
      </c>
      <c r="CG4" s="23" t="s">
        <v>178</v>
      </c>
      <c r="CH4" s="105"/>
      <c r="CI4" s="105"/>
      <c r="CJ4" s="25" t="s">
        <v>176</v>
      </c>
      <c r="CK4" s="25" t="s">
        <v>177</v>
      </c>
      <c r="CL4" s="25" t="s">
        <v>178</v>
      </c>
      <c r="CM4" s="105"/>
      <c r="CN4" s="105"/>
      <c r="CO4" s="23" t="s">
        <v>176</v>
      </c>
      <c r="CP4" s="23" t="s">
        <v>177</v>
      </c>
      <c r="CQ4" s="23" t="s">
        <v>178</v>
      </c>
      <c r="CR4" s="110"/>
      <c r="CS4" s="105"/>
      <c r="CT4" s="25" t="s">
        <v>176</v>
      </c>
      <c r="CU4" s="25" t="s">
        <v>177</v>
      </c>
      <c r="CV4" s="25" t="s">
        <v>178</v>
      </c>
      <c r="CW4" s="106"/>
      <c r="CX4" s="107"/>
      <c r="CY4" s="25" t="s">
        <v>176</v>
      </c>
      <c r="CZ4" s="25" t="s">
        <v>177</v>
      </c>
      <c r="DA4" s="25" t="s">
        <v>178</v>
      </c>
      <c r="DB4" s="106"/>
      <c r="DC4" s="105"/>
      <c r="DD4" s="23" t="s">
        <v>176</v>
      </c>
      <c r="DE4" s="23" t="s">
        <v>177</v>
      </c>
      <c r="DF4" s="23" t="s">
        <v>178</v>
      </c>
      <c r="DG4" s="108"/>
      <c r="DH4" s="105"/>
      <c r="DI4" s="25" t="s">
        <v>176</v>
      </c>
      <c r="DJ4" s="25" t="s">
        <v>177</v>
      </c>
      <c r="DK4" s="25" t="s">
        <v>178</v>
      </c>
      <c r="DL4" s="106"/>
      <c r="DM4" s="107"/>
      <c r="DN4" s="23" t="s">
        <v>176</v>
      </c>
      <c r="DO4" s="23" t="s">
        <v>177</v>
      </c>
      <c r="DP4" s="23" t="s">
        <v>178</v>
      </c>
      <c r="DQ4" s="108"/>
      <c r="DR4" s="107"/>
      <c r="DS4" s="25" t="s">
        <v>176</v>
      </c>
      <c r="DT4" s="25" t="s">
        <v>177</v>
      </c>
      <c r="DU4" s="25" t="s">
        <v>178</v>
      </c>
      <c r="DV4" s="106"/>
      <c r="DW4" s="107"/>
      <c r="DX4" s="23" t="s">
        <v>176</v>
      </c>
      <c r="DY4" s="23" t="s">
        <v>177</v>
      </c>
      <c r="DZ4" s="25" t="s">
        <v>178</v>
      </c>
      <c r="EA4" s="106"/>
      <c r="EB4" s="107"/>
      <c r="EC4" s="25" t="s">
        <v>176</v>
      </c>
      <c r="ED4" s="25" t="s">
        <v>177</v>
      </c>
      <c r="EE4" s="25" t="s">
        <v>178</v>
      </c>
      <c r="EF4" s="106"/>
      <c r="EG4" s="107"/>
      <c r="EH4" s="25" t="s">
        <v>176</v>
      </c>
      <c r="EI4" s="25" t="s">
        <v>177</v>
      </c>
      <c r="EJ4" s="25" t="s">
        <v>178</v>
      </c>
      <c r="EK4" s="106"/>
      <c r="EL4" s="105"/>
      <c r="EM4" s="25" t="s">
        <v>176</v>
      </c>
      <c r="EN4" s="25" t="s">
        <v>177</v>
      </c>
      <c r="EO4" s="25" t="s">
        <v>178</v>
      </c>
      <c r="EP4" s="108"/>
      <c r="EQ4" s="107"/>
      <c r="ER4" s="25" t="s">
        <v>176</v>
      </c>
      <c r="ES4" s="25" t="s">
        <v>177</v>
      </c>
      <c r="ET4" s="25" t="s">
        <v>178</v>
      </c>
      <c r="EU4" s="109"/>
      <c r="EV4" s="107"/>
      <c r="EW4" s="23" t="s">
        <v>176</v>
      </c>
      <c r="EX4" s="23" t="s">
        <v>177</v>
      </c>
      <c r="EY4" s="23" t="s">
        <v>178</v>
      </c>
      <c r="EZ4" s="106"/>
      <c r="FA4" s="107"/>
      <c r="FB4" s="25" t="s">
        <v>176</v>
      </c>
      <c r="FC4" s="25" t="s">
        <v>177</v>
      </c>
      <c r="FD4" s="25" t="s">
        <v>178</v>
      </c>
      <c r="FE4" s="106"/>
      <c r="FF4" s="105"/>
      <c r="FG4" s="25" t="s">
        <v>176</v>
      </c>
      <c r="FH4" s="25" t="s">
        <v>177</v>
      </c>
      <c r="FI4" s="25" t="s">
        <v>178</v>
      </c>
      <c r="FJ4" s="106"/>
    </row>
    <row r="5" spans="1:166" x14ac:dyDescent="0.25">
      <c r="A5" s="26" t="s">
        <v>180</v>
      </c>
      <c r="B5" s="11">
        <v>2</v>
      </c>
      <c r="C5" s="11">
        <v>1715</v>
      </c>
      <c r="D5" s="11">
        <v>53</v>
      </c>
      <c r="E5" s="26"/>
      <c r="F5" s="51">
        <v>0.63570000000000004</v>
      </c>
      <c r="G5" s="11"/>
      <c r="H5" s="26"/>
      <c r="I5" s="26"/>
      <c r="J5" s="26"/>
      <c r="K5" s="51"/>
      <c r="L5" s="26"/>
      <c r="M5" s="26"/>
      <c r="N5" s="26"/>
      <c r="O5" s="26"/>
      <c r="P5" s="26"/>
      <c r="Q5" s="11"/>
      <c r="R5" s="26"/>
      <c r="S5" s="26"/>
      <c r="T5" s="26"/>
      <c r="U5" s="88"/>
      <c r="V5" s="26"/>
      <c r="W5" s="26"/>
      <c r="X5" s="26"/>
      <c r="Y5" s="26"/>
      <c r="Z5" s="51"/>
      <c r="AA5" s="26"/>
      <c r="AB5" s="26"/>
      <c r="AC5" s="26"/>
      <c r="AD5" s="26"/>
      <c r="AE5" s="51"/>
      <c r="AF5" s="11"/>
      <c r="AG5" s="26"/>
      <c r="AH5" s="26"/>
      <c r="AI5" s="26"/>
      <c r="AJ5" s="51"/>
      <c r="AK5" s="11"/>
      <c r="AL5" s="26"/>
      <c r="AM5" s="26"/>
      <c r="AN5" s="26"/>
      <c r="AO5" s="51"/>
      <c r="AP5" s="26"/>
      <c r="AQ5" s="11"/>
      <c r="AR5" s="11"/>
      <c r="AS5" s="11"/>
      <c r="AT5" s="26"/>
      <c r="AU5" s="11">
        <v>1</v>
      </c>
      <c r="AV5" s="11"/>
      <c r="AW5" s="11"/>
      <c r="AX5" s="11">
        <v>9</v>
      </c>
      <c r="AY5" s="51">
        <v>4.0000000000000002E-4</v>
      </c>
      <c r="AZ5" s="11"/>
      <c r="BA5" s="11"/>
      <c r="BB5" s="11"/>
      <c r="BC5" s="11"/>
      <c r="BD5" s="51"/>
      <c r="BE5" s="11"/>
      <c r="BF5" s="11"/>
      <c r="BG5" s="11"/>
      <c r="BH5" s="26"/>
      <c r="BI5" s="84"/>
      <c r="BJ5" s="11"/>
      <c r="BK5" s="11"/>
      <c r="BL5" s="11"/>
      <c r="BM5" s="11"/>
      <c r="BN5" s="51"/>
      <c r="BO5" s="26"/>
      <c r="BP5" s="11"/>
      <c r="BQ5" s="11"/>
      <c r="BR5" s="11"/>
      <c r="BS5" s="26"/>
      <c r="BT5" s="11"/>
      <c r="BU5" s="11"/>
      <c r="BV5" s="11"/>
      <c r="BW5" s="11"/>
      <c r="BX5" s="51"/>
      <c r="BY5" s="26"/>
      <c r="BZ5" s="11"/>
      <c r="CA5" s="11"/>
      <c r="CB5" s="11"/>
      <c r="CC5" s="26"/>
      <c r="CD5" s="26"/>
      <c r="CE5" s="11"/>
      <c r="CF5" s="11"/>
      <c r="CG5" s="11"/>
      <c r="CH5" s="26"/>
      <c r="CI5" s="26"/>
      <c r="CJ5" s="26"/>
      <c r="CK5" s="26"/>
      <c r="CL5" s="26"/>
      <c r="CM5" s="26"/>
      <c r="CN5" s="26"/>
      <c r="CO5" s="11"/>
      <c r="CP5" s="11"/>
      <c r="CQ5" s="11"/>
      <c r="CR5" s="90"/>
      <c r="CS5" s="26"/>
      <c r="CT5" s="26"/>
      <c r="CU5" s="26"/>
      <c r="CV5" s="26"/>
      <c r="CW5" s="51"/>
      <c r="CX5" s="11"/>
      <c r="CY5" s="26"/>
      <c r="CZ5" s="26"/>
      <c r="DA5" s="26"/>
      <c r="DB5" s="51"/>
      <c r="DC5" s="11">
        <v>17</v>
      </c>
      <c r="DD5" s="11">
        <v>1902</v>
      </c>
      <c r="DE5" s="11"/>
      <c r="DF5" s="11">
        <v>7945</v>
      </c>
      <c r="DG5" s="51">
        <v>7.0900000000000005E-2</v>
      </c>
      <c r="DH5" s="26"/>
      <c r="DI5" s="26"/>
      <c r="DJ5" s="26"/>
      <c r="DK5" s="26"/>
      <c r="DL5" s="51"/>
      <c r="DM5" s="11"/>
      <c r="DN5" s="11"/>
      <c r="DO5" s="11"/>
      <c r="DP5" s="11"/>
      <c r="DQ5" s="51"/>
      <c r="DR5" s="11"/>
      <c r="DS5" s="26"/>
      <c r="DT5" s="26"/>
      <c r="DU5" s="26"/>
      <c r="DV5" s="51"/>
      <c r="DW5" s="11"/>
      <c r="DX5" s="11"/>
      <c r="DY5" s="11"/>
      <c r="DZ5" s="26"/>
      <c r="EA5" s="51"/>
      <c r="EB5" s="90"/>
      <c r="EC5" s="52"/>
      <c r="ED5" s="51"/>
      <c r="EE5" s="52"/>
      <c r="EF5" s="51"/>
      <c r="EG5" s="11"/>
      <c r="EH5" s="26"/>
      <c r="EI5" s="26"/>
      <c r="EJ5" s="26"/>
      <c r="EK5" s="51"/>
      <c r="EL5" s="26"/>
      <c r="EM5" s="26"/>
      <c r="EN5" s="26"/>
      <c r="EO5" s="26"/>
      <c r="EP5" s="26"/>
      <c r="EQ5" s="11"/>
      <c r="ER5" s="26"/>
      <c r="ES5" s="26"/>
      <c r="ET5" s="26"/>
      <c r="EU5" s="84"/>
      <c r="EV5" s="11"/>
      <c r="EW5" s="11"/>
      <c r="EX5" s="11"/>
      <c r="EY5" s="11"/>
      <c r="EZ5" s="51"/>
      <c r="FA5" s="11"/>
      <c r="FB5" s="26"/>
      <c r="FC5" s="26"/>
      <c r="FD5" s="26"/>
      <c r="FE5" s="51"/>
      <c r="FF5" s="26"/>
      <c r="FG5" s="26"/>
      <c r="FH5" s="26"/>
      <c r="FI5" s="26"/>
      <c r="FJ5" s="51"/>
    </row>
    <row r="6" spans="1:166" x14ac:dyDescent="0.25">
      <c r="A6" s="26" t="s">
        <v>181</v>
      </c>
      <c r="B6" s="11">
        <v>2</v>
      </c>
      <c r="C6" s="11">
        <v>22</v>
      </c>
      <c r="D6" s="11">
        <v>5</v>
      </c>
      <c r="E6" s="26"/>
      <c r="F6" s="51">
        <v>9.5999999999999992E-3</v>
      </c>
      <c r="G6" s="11"/>
      <c r="H6" s="26"/>
      <c r="I6" s="26"/>
      <c r="J6" s="26"/>
      <c r="K6" s="51"/>
      <c r="L6" s="11">
        <v>9</v>
      </c>
      <c r="M6" s="71">
        <v>3555</v>
      </c>
      <c r="N6" s="71">
        <v>165.52</v>
      </c>
      <c r="O6" s="26"/>
      <c r="P6" s="51">
        <v>0.1522</v>
      </c>
      <c r="Q6" s="11">
        <v>22</v>
      </c>
      <c r="R6" s="8">
        <v>2791225665</v>
      </c>
      <c r="S6" s="11">
        <v>4730785</v>
      </c>
      <c r="T6" s="11">
        <v>216255980</v>
      </c>
      <c r="U6" s="88">
        <v>0.65</v>
      </c>
      <c r="V6" s="11">
        <v>5</v>
      </c>
      <c r="W6" s="11">
        <v>21307768</v>
      </c>
      <c r="X6" s="11">
        <v>1151316</v>
      </c>
      <c r="Y6" s="11"/>
      <c r="Z6" s="51">
        <v>1.2699999999999999E-2</v>
      </c>
      <c r="AA6" s="26"/>
      <c r="AB6" s="71">
        <v>1186.8699999999999</v>
      </c>
      <c r="AC6" s="71">
        <v>35.71</v>
      </c>
      <c r="AD6" s="26"/>
      <c r="AE6" s="51">
        <v>0.22120000000000001</v>
      </c>
      <c r="AF6" s="11">
        <v>3</v>
      </c>
      <c r="AG6" s="39">
        <v>22.24</v>
      </c>
      <c r="AH6" s="71"/>
      <c r="AI6" s="71"/>
      <c r="AJ6" s="51">
        <v>2.1999999999999999E-2</v>
      </c>
      <c r="AK6" s="11"/>
      <c r="AL6" s="26"/>
      <c r="AM6" s="26"/>
      <c r="AN6" s="26"/>
      <c r="AO6" s="51"/>
      <c r="AP6" s="11">
        <v>1</v>
      </c>
      <c r="AQ6" s="11">
        <v>56</v>
      </c>
      <c r="AR6" s="11">
        <v>710</v>
      </c>
      <c r="AS6" s="11">
        <v>35</v>
      </c>
      <c r="AT6" s="51">
        <v>5.3900000000000003E-2</v>
      </c>
      <c r="AU6" s="11">
        <v>5</v>
      </c>
      <c r="AV6" s="11">
        <v>868</v>
      </c>
      <c r="AW6" s="11">
        <v>5</v>
      </c>
      <c r="AX6" s="11">
        <v>216</v>
      </c>
      <c r="AY6" s="51">
        <v>4.8599999999999997E-2</v>
      </c>
      <c r="AZ6" s="11">
        <v>23</v>
      </c>
      <c r="BA6" s="11">
        <v>37178.9</v>
      </c>
      <c r="BB6" s="11">
        <v>1816.7</v>
      </c>
      <c r="BC6" s="11">
        <v>2114.4</v>
      </c>
      <c r="BD6" s="51">
        <v>0.51780000000000004</v>
      </c>
      <c r="BE6" s="11"/>
      <c r="BF6" s="11"/>
      <c r="BG6" s="11"/>
      <c r="BH6" s="26"/>
      <c r="BI6" s="84"/>
      <c r="BJ6" s="11">
        <v>40</v>
      </c>
      <c r="BK6" s="11">
        <v>14691</v>
      </c>
      <c r="BL6" s="11">
        <v>715</v>
      </c>
      <c r="BM6" s="11">
        <v>4287</v>
      </c>
      <c r="BN6" s="51">
        <v>0.1676</v>
      </c>
      <c r="BO6" s="11">
        <v>7</v>
      </c>
      <c r="BP6" s="11">
        <v>4931</v>
      </c>
      <c r="BQ6" s="11">
        <v>12</v>
      </c>
      <c r="BR6" s="11">
        <v>106</v>
      </c>
      <c r="BS6" s="84">
        <v>7.0000000000000007E-2</v>
      </c>
      <c r="BT6" s="11"/>
      <c r="BU6" s="11"/>
      <c r="BV6" s="11"/>
      <c r="BW6" s="11"/>
      <c r="BX6" s="51"/>
      <c r="BY6" s="11">
        <v>3</v>
      </c>
      <c r="BZ6" s="11">
        <v>5</v>
      </c>
      <c r="CA6" s="11">
        <v>5</v>
      </c>
      <c r="CB6" s="11"/>
      <c r="CC6" s="51">
        <v>1.4E-3</v>
      </c>
      <c r="CD6" s="11">
        <v>5</v>
      </c>
      <c r="CE6" s="11">
        <v>2895</v>
      </c>
      <c r="CF6" s="11">
        <v>51</v>
      </c>
      <c r="CG6" s="11"/>
      <c r="CH6" s="51">
        <v>0.28699999999999998</v>
      </c>
      <c r="CI6" s="26"/>
      <c r="CJ6" s="26"/>
      <c r="CK6" s="26"/>
      <c r="CL6" s="26"/>
      <c r="CM6" s="26"/>
      <c r="CN6" s="11">
        <v>1</v>
      </c>
      <c r="CO6" s="11">
        <v>105</v>
      </c>
      <c r="CP6" s="11"/>
      <c r="CQ6" s="11"/>
      <c r="CR6" s="90">
        <v>0.01</v>
      </c>
      <c r="CS6" s="26"/>
      <c r="CT6" s="26"/>
      <c r="CU6" s="26"/>
      <c r="CV6" s="26"/>
      <c r="CW6" s="51"/>
      <c r="CX6" s="11"/>
      <c r="CY6" s="26"/>
      <c r="CZ6" s="26"/>
      <c r="DA6" s="26"/>
      <c r="DB6" s="51"/>
      <c r="DC6" s="11">
        <v>60</v>
      </c>
      <c r="DD6" s="11">
        <v>7831</v>
      </c>
      <c r="DE6" s="11">
        <v>460</v>
      </c>
      <c r="DF6" s="11">
        <v>742</v>
      </c>
      <c r="DG6" s="51">
        <v>6.5000000000000002E-2</v>
      </c>
      <c r="DH6" s="26"/>
      <c r="DI6" s="71">
        <v>4613.5</v>
      </c>
      <c r="DJ6" s="71">
        <v>128.27000000000001</v>
      </c>
      <c r="DK6" s="71">
        <v>110.89</v>
      </c>
      <c r="DL6" s="51">
        <v>7.9500000000000001E-2</v>
      </c>
      <c r="DM6" s="11">
        <v>3</v>
      </c>
      <c r="DN6" s="11"/>
      <c r="DO6" s="11">
        <v>21</v>
      </c>
      <c r="DP6" s="11"/>
      <c r="DQ6" s="51">
        <v>2.0799999999999999E-2</v>
      </c>
      <c r="DR6" s="11">
        <v>23</v>
      </c>
      <c r="DS6" s="26">
        <v>60</v>
      </c>
      <c r="DT6" s="26">
        <v>96</v>
      </c>
      <c r="DU6" s="26">
        <v>544</v>
      </c>
      <c r="DV6" s="51">
        <v>7.7000000000000002E-3</v>
      </c>
      <c r="DW6" s="11"/>
      <c r="DX6" s="11"/>
      <c r="DY6" s="11"/>
      <c r="DZ6" s="26"/>
      <c r="EA6" s="51"/>
      <c r="EB6" s="90">
        <v>2</v>
      </c>
      <c r="EC6">
        <v>38.64</v>
      </c>
      <c r="ED6" s="51"/>
      <c r="EE6" s="52">
        <v>3.28</v>
      </c>
      <c r="EF6" s="51">
        <v>2E-3</v>
      </c>
      <c r="EG6" s="11">
        <v>6</v>
      </c>
      <c r="EH6" s="71">
        <v>2938.93</v>
      </c>
      <c r="EI6" s="71">
        <v>40.4</v>
      </c>
      <c r="EJ6" s="71">
        <v>111.52</v>
      </c>
      <c r="EK6" s="51">
        <v>5.6599999999999998E-2</v>
      </c>
      <c r="EL6" s="26"/>
      <c r="EM6" s="26"/>
      <c r="EN6" s="26"/>
      <c r="EO6" s="26"/>
      <c r="EP6" s="26"/>
      <c r="EQ6" s="11"/>
      <c r="ER6" s="26"/>
      <c r="ES6" s="26"/>
      <c r="ET6" s="26"/>
      <c r="EU6" s="84"/>
      <c r="EV6" s="11">
        <v>27</v>
      </c>
      <c r="EW6" s="11">
        <v>30990</v>
      </c>
      <c r="EX6" s="11">
        <v>1496</v>
      </c>
      <c r="EY6" s="11">
        <v>4736</v>
      </c>
      <c r="EZ6" s="51">
        <v>0.48209999999999997</v>
      </c>
      <c r="FA6" s="11">
        <v>11</v>
      </c>
      <c r="FB6" s="26">
        <v>0.88</v>
      </c>
      <c r="FC6" s="26">
        <v>-0.28000000000000003</v>
      </c>
      <c r="FD6" s="26">
        <v>1.02</v>
      </c>
      <c r="FE6" s="51">
        <v>1.9E-3</v>
      </c>
      <c r="FF6" s="11">
        <v>38</v>
      </c>
      <c r="FG6" s="71">
        <v>682</v>
      </c>
      <c r="FH6" s="71">
        <v>229</v>
      </c>
      <c r="FI6" s="71">
        <v>4837</v>
      </c>
      <c r="FJ6" s="51">
        <v>0.433</v>
      </c>
    </row>
    <row r="7" spans="1:166" x14ac:dyDescent="0.25">
      <c r="A7" s="26" t="s">
        <v>182</v>
      </c>
      <c r="B7" s="11">
        <v>1</v>
      </c>
      <c r="C7" s="11">
        <v>946</v>
      </c>
      <c r="D7" s="11">
        <v>41</v>
      </c>
      <c r="E7" s="26"/>
      <c r="F7" s="51">
        <v>0.35470000000000002</v>
      </c>
      <c r="G7" s="11">
        <v>3</v>
      </c>
      <c r="H7" s="71">
        <v>4854.3</v>
      </c>
      <c r="I7" s="71">
        <v>-6.64</v>
      </c>
      <c r="J7" s="26"/>
      <c r="K7" s="51">
        <v>0.77890000000000004</v>
      </c>
      <c r="L7" s="11">
        <v>42</v>
      </c>
      <c r="M7" s="71">
        <v>19946.13</v>
      </c>
      <c r="N7" s="71">
        <v>722.85</v>
      </c>
      <c r="O7" s="26"/>
      <c r="P7" s="51">
        <v>0.8458</v>
      </c>
      <c r="Q7" s="11">
        <v>121</v>
      </c>
      <c r="R7" s="11">
        <v>286107755</v>
      </c>
      <c r="S7" s="11">
        <v>51457170</v>
      </c>
      <c r="T7" s="11">
        <v>1311221237</v>
      </c>
      <c r="U7" s="88">
        <v>0.35</v>
      </c>
      <c r="V7" s="11">
        <v>95</v>
      </c>
      <c r="W7" s="11">
        <v>681054302</v>
      </c>
      <c r="X7" s="11">
        <v>137610301</v>
      </c>
      <c r="Y7" s="11">
        <v>153322155</v>
      </c>
      <c r="Z7" s="51">
        <v>0.54979999999999996</v>
      </c>
      <c r="AA7" s="26"/>
      <c r="AB7" s="71">
        <v>1963.35</v>
      </c>
      <c r="AC7" s="71">
        <v>284.06</v>
      </c>
      <c r="AD7" s="71">
        <v>2053.11</v>
      </c>
      <c r="AE7" s="51">
        <v>0.77810000000000001</v>
      </c>
      <c r="AF7" s="11">
        <v>4</v>
      </c>
      <c r="AG7" s="39">
        <v>818.68</v>
      </c>
      <c r="AH7" s="39">
        <v>142.31</v>
      </c>
      <c r="AI7" s="39">
        <v>15.43</v>
      </c>
      <c r="AJ7" s="51">
        <v>0.96199999999999997</v>
      </c>
      <c r="AK7" s="11">
        <v>5</v>
      </c>
      <c r="AL7" s="26">
        <v>1841.35</v>
      </c>
      <c r="AM7" s="26">
        <v>1341.54</v>
      </c>
      <c r="AN7" s="26"/>
      <c r="AO7" s="51">
        <v>0.62529999999999997</v>
      </c>
      <c r="AP7" s="11">
        <v>55</v>
      </c>
      <c r="AQ7" s="11">
        <v>3865</v>
      </c>
      <c r="AR7" s="11">
        <v>201</v>
      </c>
      <c r="AS7" s="11">
        <v>885</v>
      </c>
      <c r="AT7" s="51">
        <v>0.1908</v>
      </c>
      <c r="AU7" s="11">
        <v>14</v>
      </c>
      <c r="AV7" s="11">
        <v>1986</v>
      </c>
      <c r="AW7" s="11">
        <v>636</v>
      </c>
      <c r="AX7" s="11">
        <v>1084</v>
      </c>
      <c r="AY7" s="51">
        <v>0.95099999999999996</v>
      </c>
      <c r="AZ7" s="11">
        <v>101</v>
      </c>
      <c r="BA7" s="11">
        <v>7548.5</v>
      </c>
      <c r="BB7" s="11">
        <v>555.79999999999995</v>
      </c>
      <c r="BC7" s="11">
        <v>2839.6</v>
      </c>
      <c r="BD7" s="51">
        <v>0.13780000000000001</v>
      </c>
      <c r="BE7" s="11">
        <v>6</v>
      </c>
      <c r="BF7" s="11">
        <v>10780</v>
      </c>
      <c r="BG7" s="11">
        <v>17</v>
      </c>
      <c r="BH7" s="26"/>
      <c r="BI7" s="84">
        <v>0.83</v>
      </c>
      <c r="BJ7" s="11">
        <v>144</v>
      </c>
      <c r="BK7" s="11">
        <v>11426</v>
      </c>
      <c r="BL7" s="11">
        <v>1107</v>
      </c>
      <c r="BM7" s="11">
        <v>8477</v>
      </c>
      <c r="BN7" s="51">
        <v>0.17879999999999999</v>
      </c>
      <c r="BO7" s="11">
        <v>126</v>
      </c>
      <c r="BP7" s="11">
        <v>14997</v>
      </c>
      <c r="BQ7" s="11">
        <v>177</v>
      </c>
      <c r="BR7" s="11">
        <v>4183</v>
      </c>
      <c r="BS7" s="84">
        <v>0.26</v>
      </c>
      <c r="BT7" s="11">
        <v>3</v>
      </c>
      <c r="BU7" s="11">
        <v>74</v>
      </c>
      <c r="BV7" s="11">
        <v>34</v>
      </c>
      <c r="BW7" s="11"/>
      <c r="BX7" s="51">
        <v>8.5000000000000006E-2</v>
      </c>
      <c r="BY7" s="11">
        <v>16</v>
      </c>
      <c r="BZ7" s="11">
        <v>1722</v>
      </c>
      <c r="CA7" s="11">
        <v>442</v>
      </c>
      <c r="CB7" s="11">
        <v>14</v>
      </c>
      <c r="CC7" s="51">
        <v>0.30220000000000002</v>
      </c>
      <c r="CD7" s="11">
        <v>20</v>
      </c>
      <c r="CE7" s="11">
        <v>5974</v>
      </c>
      <c r="CF7" s="11">
        <v>161</v>
      </c>
      <c r="CG7" s="11">
        <v>1173</v>
      </c>
      <c r="CH7" s="51">
        <v>0.71199999999999997</v>
      </c>
      <c r="CI7" s="11">
        <v>1</v>
      </c>
      <c r="CJ7" s="71">
        <v>0.45</v>
      </c>
      <c r="CK7" s="71">
        <v>17.739999999999998</v>
      </c>
      <c r="CL7" s="71">
        <v>0.05</v>
      </c>
      <c r="CM7" s="51">
        <v>2.46E-2</v>
      </c>
      <c r="CN7" s="11">
        <v>3</v>
      </c>
      <c r="CO7" s="11">
        <v>6986</v>
      </c>
      <c r="CP7" s="11">
        <v>46</v>
      </c>
      <c r="CQ7" s="11"/>
      <c r="CR7" s="90">
        <v>0.99</v>
      </c>
      <c r="CS7" s="26"/>
      <c r="CT7" s="71">
        <v>2082.02</v>
      </c>
      <c r="CU7" s="71">
        <v>3128.01</v>
      </c>
      <c r="CV7" s="71">
        <v>2025.08</v>
      </c>
      <c r="CW7" s="51">
        <v>0.15640000000000001</v>
      </c>
      <c r="CX7" s="11">
        <v>6</v>
      </c>
      <c r="CY7" s="26">
        <v>-0.81</v>
      </c>
      <c r="CZ7" s="26">
        <v>23.56</v>
      </c>
      <c r="DA7" s="26"/>
      <c r="DB7" s="51">
        <v>0.15160000000000001</v>
      </c>
      <c r="DC7" s="11">
        <v>199</v>
      </c>
      <c r="DD7" s="11">
        <v>18128</v>
      </c>
      <c r="DE7" s="11">
        <v>5075</v>
      </c>
      <c r="DF7" s="11">
        <v>243</v>
      </c>
      <c r="DG7" s="51">
        <v>0.16880000000000001</v>
      </c>
      <c r="DH7" s="26"/>
      <c r="DI7" s="71">
        <v>1227.18</v>
      </c>
      <c r="DJ7" s="71">
        <v>2007.75</v>
      </c>
      <c r="DK7" s="71">
        <v>3515.78</v>
      </c>
      <c r="DL7" s="51">
        <v>0.1105</v>
      </c>
      <c r="DM7" s="11">
        <v>5</v>
      </c>
      <c r="DN7" s="11">
        <v>450</v>
      </c>
      <c r="DO7" s="11">
        <v>369</v>
      </c>
      <c r="DP7" s="11">
        <v>154</v>
      </c>
      <c r="DQ7" s="51">
        <v>0.97919999999999996</v>
      </c>
      <c r="DR7" s="11">
        <v>103</v>
      </c>
      <c r="DS7" s="26">
        <v>6836</v>
      </c>
      <c r="DT7" s="26">
        <v>675</v>
      </c>
      <c r="DU7" s="26">
        <v>2542</v>
      </c>
      <c r="DV7" s="51">
        <v>0.1105</v>
      </c>
      <c r="DW7" s="11">
        <v>1</v>
      </c>
      <c r="DX7" s="11">
        <v>14</v>
      </c>
      <c r="DY7" s="11"/>
      <c r="DZ7" s="26"/>
      <c r="EA7" s="51">
        <v>1E-3</v>
      </c>
      <c r="EB7" s="90">
        <v>43</v>
      </c>
      <c r="EC7" s="52">
        <v>6390.7</v>
      </c>
      <c r="ED7" s="52">
        <v>1013.16</v>
      </c>
      <c r="EE7" s="52">
        <v>122.55</v>
      </c>
      <c r="EF7" s="51">
        <v>0.35589999999999999</v>
      </c>
      <c r="EG7" s="11">
        <v>105</v>
      </c>
      <c r="EH7" s="71">
        <v>17013.830000000002</v>
      </c>
      <c r="EI7" s="71">
        <v>741.59</v>
      </c>
      <c r="EJ7" s="71">
        <v>1085.28</v>
      </c>
      <c r="EK7" s="51">
        <v>0.34520000000000001</v>
      </c>
      <c r="EL7" s="11">
        <v>9</v>
      </c>
      <c r="EM7" s="71">
        <v>142.30000000000001</v>
      </c>
      <c r="EN7" s="71">
        <v>58.49</v>
      </c>
      <c r="EO7" s="71">
        <v>11.05</v>
      </c>
      <c r="EP7" s="51">
        <v>6.4399999999999999E-2</v>
      </c>
      <c r="EQ7" s="11">
        <v>4</v>
      </c>
      <c r="ER7" s="71">
        <v>38457.07</v>
      </c>
      <c r="ES7" s="71">
        <v>36.82</v>
      </c>
      <c r="ET7" s="26"/>
      <c r="EU7" s="84">
        <v>1</v>
      </c>
      <c r="EV7" s="11">
        <v>83</v>
      </c>
      <c r="EW7" s="11">
        <v>16852</v>
      </c>
      <c r="EX7" s="11">
        <v>1153</v>
      </c>
      <c r="EY7" s="11">
        <v>1271</v>
      </c>
      <c r="EZ7" s="51">
        <v>0.24970000000000001</v>
      </c>
      <c r="FA7" s="11">
        <v>201</v>
      </c>
      <c r="FB7" s="26">
        <v>98.47</v>
      </c>
      <c r="FC7" s="26">
        <v>63.97</v>
      </c>
      <c r="FD7" s="26">
        <v>161.22</v>
      </c>
      <c r="FE7" s="51">
        <v>0.37169999999999997</v>
      </c>
      <c r="FF7" s="11">
        <v>28</v>
      </c>
      <c r="FG7" s="71">
        <v>5343</v>
      </c>
      <c r="FH7" s="71">
        <v>682</v>
      </c>
      <c r="FI7" s="71">
        <v>426</v>
      </c>
      <c r="FJ7" s="51">
        <v>0.48599999999999999</v>
      </c>
    </row>
    <row r="8" spans="1:166" x14ac:dyDescent="0.25">
      <c r="A8" s="26" t="s">
        <v>183</v>
      </c>
      <c r="B8" s="11"/>
      <c r="C8" s="11"/>
      <c r="D8" s="11"/>
      <c r="E8" s="26"/>
      <c r="F8" s="51"/>
      <c r="G8" s="11">
        <v>3</v>
      </c>
      <c r="H8" s="71">
        <v>1244</v>
      </c>
      <c r="I8" s="71">
        <v>132.27000000000001</v>
      </c>
      <c r="J8" s="26"/>
      <c r="K8" s="51">
        <v>0.22109999999999999</v>
      </c>
      <c r="L8" s="11">
        <v>1</v>
      </c>
      <c r="M8" s="71">
        <v>46.35</v>
      </c>
      <c r="N8" s="26">
        <v>2.38</v>
      </c>
      <c r="O8" s="26"/>
      <c r="P8" s="51">
        <v>2E-3</v>
      </c>
      <c r="Q8" s="11"/>
      <c r="R8" s="11"/>
      <c r="S8" s="11"/>
      <c r="T8" s="11"/>
      <c r="U8" s="88"/>
      <c r="V8" s="11">
        <v>12</v>
      </c>
      <c r="W8" s="8">
        <v>598729752</v>
      </c>
      <c r="X8" s="11">
        <v>117966801</v>
      </c>
      <c r="Y8" s="11">
        <v>7393644</v>
      </c>
      <c r="Z8" s="51">
        <v>0.40949999999999998</v>
      </c>
      <c r="AA8" s="26"/>
      <c r="AB8" s="71">
        <v>3.6</v>
      </c>
      <c r="AC8" s="26"/>
      <c r="AD8" s="26"/>
      <c r="AE8" s="51">
        <v>6.9999999999999999E-4</v>
      </c>
      <c r="AF8" s="11">
        <v>12</v>
      </c>
      <c r="AG8" s="39">
        <v>16.21</v>
      </c>
      <c r="AH8" s="71"/>
      <c r="AI8" s="71"/>
      <c r="AJ8" s="51">
        <v>1.6E-2</v>
      </c>
      <c r="AK8" s="11">
        <v>2</v>
      </c>
      <c r="AL8" s="26">
        <v>1643.05</v>
      </c>
      <c r="AM8" s="26">
        <v>264.05</v>
      </c>
      <c r="AN8" s="26"/>
      <c r="AO8" s="51">
        <v>0.37469999999999998</v>
      </c>
      <c r="AP8" s="11">
        <v>10</v>
      </c>
      <c r="AQ8" s="11">
        <v>2364</v>
      </c>
      <c r="AR8" s="11">
        <v>157</v>
      </c>
      <c r="AS8" s="11">
        <v>49</v>
      </c>
      <c r="AT8" s="51">
        <v>9.1300000000000006E-2</v>
      </c>
      <c r="AU8" s="11"/>
      <c r="AV8" s="11"/>
      <c r="AW8" s="11"/>
      <c r="AX8" s="11"/>
      <c r="AY8" s="51"/>
      <c r="AZ8" s="11">
        <v>6</v>
      </c>
      <c r="BA8" s="11">
        <v>22781.8</v>
      </c>
      <c r="BB8" s="11">
        <v>2015.7</v>
      </c>
      <c r="BC8" s="11">
        <v>548</v>
      </c>
      <c r="BD8" s="51">
        <v>0.31919999999999998</v>
      </c>
      <c r="BE8" s="11">
        <v>1</v>
      </c>
      <c r="BF8" s="11">
        <v>2223</v>
      </c>
      <c r="BG8" s="11">
        <v>14</v>
      </c>
      <c r="BH8" s="26"/>
      <c r="BI8" s="84">
        <v>0.17</v>
      </c>
      <c r="BJ8" s="11">
        <v>5</v>
      </c>
      <c r="BK8" s="11">
        <v>61291</v>
      </c>
      <c r="BL8" s="11">
        <v>4644</v>
      </c>
      <c r="BM8" s="11">
        <v>490</v>
      </c>
      <c r="BN8" s="51">
        <v>0.56530000000000002</v>
      </c>
      <c r="BO8" s="11">
        <v>30</v>
      </c>
      <c r="BP8" s="11">
        <v>41450</v>
      </c>
      <c r="BQ8" s="11">
        <v>995</v>
      </c>
      <c r="BR8" s="11">
        <v>4152</v>
      </c>
      <c r="BS8" s="84">
        <v>0.63</v>
      </c>
      <c r="BT8" s="11">
        <v>1</v>
      </c>
      <c r="BU8" s="11">
        <v>1074</v>
      </c>
      <c r="BV8" s="11">
        <v>89</v>
      </c>
      <c r="BW8" s="11"/>
      <c r="BX8" s="51">
        <v>0.91</v>
      </c>
      <c r="BY8" s="11">
        <v>1</v>
      </c>
      <c r="BZ8" s="11">
        <v>4547</v>
      </c>
      <c r="CA8" s="11">
        <v>448</v>
      </c>
      <c r="CB8" s="11">
        <v>25</v>
      </c>
      <c r="CC8" s="51">
        <v>0.69650000000000001</v>
      </c>
      <c r="CD8" s="11">
        <v>4</v>
      </c>
      <c r="CE8" s="11">
        <v>1</v>
      </c>
      <c r="CF8" s="11"/>
      <c r="CG8" s="11"/>
      <c r="CH8" s="51">
        <v>1E-4</v>
      </c>
      <c r="CI8" s="11">
        <v>1</v>
      </c>
      <c r="CJ8" s="71">
        <v>714.9</v>
      </c>
      <c r="CK8" s="71">
        <v>6.86</v>
      </c>
      <c r="CL8" s="26"/>
      <c r="CM8" s="51">
        <v>0.97540000000000004</v>
      </c>
      <c r="CN8" s="26"/>
      <c r="CO8" s="11"/>
      <c r="CP8" s="11"/>
      <c r="CQ8" s="11"/>
      <c r="CR8" s="90"/>
      <c r="CS8" s="26"/>
      <c r="CT8" s="71">
        <v>20271.810000000001</v>
      </c>
      <c r="CU8" s="71">
        <v>6505.34</v>
      </c>
      <c r="CV8" s="71">
        <v>13312.02</v>
      </c>
      <c r="CW8" s="51">
        <v>0.86639999999999995</v>
      </c>
      <c r="CX8" s="11">
        <v>7</v>
      </c>
      <c r="CY8" s="26">
        <v>35.54</v>
      </c>
      <c r="CZ8" s="26">
        <v>86.72</v>
      </c>
      <c r="DA8" s="26"/>
      <c r="DB8" s="51">
        <v>0.81459999999999999</v>
      </c>
      <c r="DC8" s="11">
        <v>42</v>
      </c>
      <c r="DD8" s="11">
        <v>6209</v>
      </c>
      <c r="DE8" s="11">
        <v>9699</v>
      </c>
      <c r="DF8" s="11">
        <v>77714</v>
      </c>
      <c r="DG8" s="51">
        <v>0.67410000000000003</v>
      </c>
      <c r="DH8" s="26"/>
      <c r="DI8" s="71">
        <v>20.88</v>
      </c>
      <c r="DJ8" s="71">
        <v>62.53</v>
      </c>
      <c r="DK8" s="71">
        <v>0.75</v>
      </c>
      <c r="DL8" s="51">
        <v>1.4E-3</v>
      </c>
      <c r="DM8" s="11"/>
      <c r="DN8" s="11"/>
      <c r="DO8" s="11"/>
      <c r="DP8" s="11"/>
      <c r="DQ8" s="51"/>
      <c r="DR8" s="11">
        <v>11</v>
      </c>
      <c r="DS8" s="26">
        <v>58216</v>
      </c>
      <c r="DT8" s="26">
        <v>2746</v>
      </c>
      <c r="DU8" s="26">
        <v>644</v>
      </c>
      <c r="DV8" s="51">
        <v>0.73140000000000005</v>
      </c>
      <c r="DW8" s="11">
        <v>1</v>
      </c>
      <c r="DX8" s="11">
        <v>11873</v>
      </c>
      <c r="DY8" s="11">
        <v>302</v>
      </c>
      <c r="DZ8" s="26"/>
      <c r="EA8" s="51">
        <v>0.999</v>
      </c>
      <c r="EB8" s="90">
        <v>19</v>
      </c>
      <c r="EC8" s="52">
        <v>12411.02</v>
      </c>
      <c r="ED8" s="52">
        <v>601</v>
      </c>
      <c r="EE8" s="52">
        <v>570.11</v>
      </c>
      <c r="EF8" s="51">
        <v>0.64219999999999999</v>
      </c>
      <c r="EG8" s="11">
        <v>1</v>
      </c>
      <c r="EH8" s="71">
        <v>26448.18</v>
      </c>
      <c r="EI8" s="71">
        <v>1304.3699999999999</v>
      </c>
      <c r="EJ8" s="71">
        <v>365.09</v>
      </c>
      <c r="EK8" s="51">
        <v>0.51519999999999999</v>
      </c>
      <c r="EL8" s="11">
        <v>4</v>
      </c>
      <c r="EM8" s="71">
        <v>109.26</v>
      </c>
      <c r="EN8" s="71">
        <v>40.200000000000003</v>
      </c>
      <c r="EO8" s="71"/>
      <c r="EP8" s="51">
        <v>4.5400000000000003E-2</v>
      </c>
      <c r="EQ8" s="11"/>
      <c r="ER8" s="26"/>
      <c r="ES8" s="26"/>
      <c r="ET8" s="26"/>
      <c r="EU8" s="84"/>
      <c r="EV8" s="11"/>
      <c r="EW8" s="11"/>
      <c r="EX8" s="11"/>
      <c r="EY8" s="11"/>
      <c r="EZ8" s="51"/>
      <c r="FA8" s="11">
        <v>28</v>
      </c>
      <c r="FB8" s="26">
        <v>21.26</v>
      </c>
      <c r="FC8" s="26">
        <v>14.64</v>
      </c>
      <c r="FD8" s="26">
        <v>3.38</v>
      </c>
      <c r="FE8" s="51">
        <v>4.5100000000000001E-2</v>
      </c>
      <c r="FF8" s="11">
        <v>6</v>
      </c>
      <c r="FG8" s="71">
        <v>207</v>
      </c>
      <c r="FH8" s="71">
        <v>216</v>
      </c>
      <c r="FI8" s="71">
        <v>1</v>
      </c>
      <c r="FJ8" s="51">
        <v>3.1899999999999998E-2</v>
      </c>
    </row>
    <row r="9" spans="1:166" x14ac:dyDescent="0.25">
      <c r="A9" s="26" t="s">
        <v>184</v>
      </c>
      <c r="B9" s="11"/>
      <c r="C9" s="11"/>
      <c r="D9" s="11"/>
      <c r="E9" s="26"/>
      <c r="F9" s="51"/>
      <c r="G9" s="11"/>
      <c r="H9" s="26"/>
      <c r="I9" s="26"/>
      <c r="J9" s="26"/>
      <c r="K9" s="51"/>
      <c r="L9" s="11"/>
      <c r="M9" s="71"/>
      <c r="N9" s="26"/>
      <c r="O9" s="26"/>
      <c r="P9" s="51"/>
      <c r="Q9" s="11"/>
      <c r="R9" s="11"/>
      <c r="S9" s="11"/>
      <c r="T9" s="11"/>
      <c r="U9" s="88"/>
      <c r="V9" s="11">
        <v>1</v>
      </c>
      <c r="W9" s="11">
        <v>4332439</v>
      </c>
      <c r="X9" s="11">
        <v>5805745</v>
      </c>
      <c r="Y9" s="11"/>
      <c r="Z9" s="51">
        <v>5.7000000000000002E-3</v>
      </c>
      <c r="AA9" s="26"/>
      <c r="AB9" s="26"/>
      <c r="AC9" s="26"/>
      <c r="AD9" s="26"/>
      <c r="AE9" s="51"/>
      <c r="AF9" s="11"/>
      <c r="AG9" s="26"/>
      <c r="AH9" s="26"/>
      <c r="AI9" s="26"/>
      <c r="AJ9" s="51"/>
      <c r="AK9" s="11">
        <v>3</v>
      </c>
      <c r="AL9" s="26">
        <v>0.13</v>
      </c>
      <c r="AM9" s="26"/>
      <c r="AN9" s="26"/>
      <c r="AO9" s="51"/>
      <c r="AP9" s="11">
        <v>2</v>
      </c>
      <c r="AQ9" s="11">
        <v>1370</v>
      </c>
      <c r="AR9" s="11"/>
      <c r="AS9" s="11">
        <v>16</v>
      </c>
      <c r="AT9" s="51">
        <v>3.2000000000000002E-3</v>
      </c>
      <c r="AU9" s="11"/>
      <c r="AV9" s="11"/>
      <c r="AW9" s="11"/>
      <c r="AX9" s="11"/>
      <c r="AY9" s="51"/>
      <c r="AZ9" s="11"/>
      <c r="BA9" s="11"/>
      <c r="BB9" s="11"/>
      <c r="BC9" s="11"/>
      <c r="BD9" s="51"/>
      <c r="BE9" s="11"/>
      <c r="BF9" s="11"/>
      <c r="BG9" s="11"/>
      <c r="BH9" s="26"/>
      <c r="BI9" s="84"/>
      <c r="BJ9" s="11">
        <v>10</v>
      </c>
      <c r="BK9" s="11">
        <v>123</v>
      </c>
      <c r="BL9" s="11">
        <v>-1</v>
      </c>
      <c r="BM9" s="11">
        <v>39</v>
      </c>
      <c r="BN9" s="51">
        <v>1.4E-3</v>
      </c>
      <c r="BO9" s="26"/>
      <c r="BP9" s="11"/>
      <c r="BQ9" s="11"/>
      <c r="BR9" s="11"/>
      <c r="BS9" s="84"/>
      <c r="BT9" s="11"/>
      <c r="BU9" s="11"/>
      <c r="BV9" s="11"/>
      <c r="BW9" s="11"/>
      <c r="BX9" s="51"/>
      <c r="BY9" s="11">
        <v>1</v>
      </c>
      <c r="BZ9" s="11"/>
      <c r="CA9" s="11"/>
      <c r="CB9" s="11"/>
      <c r="CC9" s="52"/>
      <c r="CD9" s="11">
        <v>7</v>
      </c>
      <c r="CE9" s="11">
        <v>9</v>
      </c>
      <c r="CF9" s="11"/>
      <c r="CG9" s="11"/>
      <c r="CH9" s="51">
        <v>8.9999999999999998E-4</v>
      </c>
      <c r="CI9" s="26"/>
      <c r="CJ9" s="26"/>
      <c r="CK9" s="26"/>
      <c r="CL9" s="26"/>
      <c r="CM9" s="52"/>
      <c r="CN9" s="26"/>
      <c r="CO9" s="11"/>
      <c r="CP9" s="11"/>
      <c r="CQ9" s="11"/>
      <c r="CR9" s="90"/>
      <c r="CS9" s="26"/>
      <c r="CT9" s="71">
        <v>-6250.44</v>
      </c>
      <c r="CU9" s="71">
        <v>1047.06</v>
      </c>
      <c r="CV9" s="71">
        <v>4148.16</v>
      </c>
      <c r="CW9" s="51">
        <v>-2.2800000000000001E-2</v>
      </c>
      <c r="CX9" s="11">
        <v>4</v>
      </c>
      <c r="CY9" s="26"/>
      <c r="CZ9" s="26">
        <v>5.07</v>
      </c>
      <c r="DA9" s="26"/>
      <c r="DB9" s="51">
        <v>3.3799999999999997E-2</v>
      </c>
      <c r="DC9" s="11">
        <v>45</v>
      </c>
      <c r="DD9" s="11">
        <v>2289</v>
      </c>
      <c r="DE9" s="11">
        <v>366</v>
      </c>
      <c r="DF9" s="11">
        <v>287.66000000000003</v>
      </c>
      <c r="DG9" s="51">
        <v>2.12E-2</v>
      </c>
      <c r="DH9" s="26"/>
      <c r="DI9" s="26">
        <f>372.36+1563.94</f>
        <v>1936.3000000000002</v>
      </c>
      <c r="DJ9" s="26">
        <f>439.95+303.11</f>
        <v>743.06</v>
      </c>
      <c r="DK9" s="26">
        <f>70.93+27.65</f>
        <v>98.580000000000013</v>
      </c>
      <c r="DL9" s="51">
        <v>4.5499999999999999E-2</v>
      </c>
      <c r="DM9" s="11"/>
      <c r="DN9" s="11"/>
      <c r="DO9" s="11"/>
      <c r="DP9" s="11"/>
      <c r="DQ9" s="51"/>
      <c r="DR9" s="11">
        <v>9</v>
      </c>
      <c r="DS9" s="26">
        <v>4570</v>
      </c>
      <c r="DT9" s="26">
        <v>286</v>
      </c>
      <c r="DU9" s="26">
        <v>235</v>
      </c>
      <c r="DV9" s="51">
        <v>1.5E-3</v>
      </c>
      <c r="DW9" s="11"/>
      <c r="DX9" s="11"/>
      <c r="DY9" s="11"/>
      <c r="DZ9" s="26"/>
      <c r="EA9" s="51"/>
      <c r="EB9" s="90"/>
      <c r="EC9" s="51"/>
      <c r="ED9" s="51"/>
      <c r="EE9" s="52"/>
      <c r="EF9" s="51"/>
      <c r="EG9" s="11">
        <v>1</v>
      </c>
      <c r="EH9" s="71">
        <v>178.3</v>
      </c>
      <c r="EI9" s="71">
        <v>-0.57999999999999996</v>
      </c>
      <c r="EJ9" s="71">
        <v>0.34</v>
      </c>
      <c r="EK9" s="51">
        <v>3.3E-3</v>
      </c>
      <c r="EL9" s="11">
        <v>10</v>
      </c>
      <c r="EM9" s="71">
        <v>2687.71</v>
      </c>
      <c r="EN9" s="71">
        <v>234.84</v>
      </c>
      <c r="EO9" s="71">
        <v>5.9</v>
      </c>
      <c r="EP9" s="51">
        <v>0.88839999999999997</v>
      </c>
      <c r="EQ9" s="11"/>
      <c r="ER9" s="26"/>
      <c r="ES9" s="26"/>
      <c r="ET9" s="26"/>
      <c r="EU9" s="84"/>
      <c r="EV9" s="11">
        <v>2</v>
      </c>
      <c r="EW9" s="11">
        <v>16223</v>
      </c>
      <c r="EX9" s="11">
        <v>783</v>
      </c>
      <c r="EY9" s="11">
        <v>2939</v>
      </c>
      <c r="EZ9" s="51">
        <v>0.25829999999999997</v>
      </c>
      <c r="FA9" s="11">
        <v>13</v>
      </c>
      <c r="FB9" s="26">
        <v>4</v>
      </c>
      <c r="FC9" s="26">
        <v>1.88</v>
      </c>
      <c r="FD9" s="26">
        <v>4.3499999999999996</v>
      </c>
      <c r="FE9" s="51">
        <v>1.18E-2</v>
      </c>
      <c r="FF9" s="11">
        <v>15</v>
      </c>
      <c r="FG9" s="71">
        <v>103</v>
      </c>
      <c r="FH9" s="71">
        <v>389</v>
      </c>
      <c r="FI9" s="71">
        <v>79</v>
      </c>
      <c r="FJ9" s="51">
        <v>4.2999999999999997E-2</v>
      </c>
    </row>
    <row r="10" spans="1:166" ht="30" x14ac:dyDescent="0.25">
      <c r="A10" s="27" t="s">
        <v>185</v>
      </c>
      <c r="B10" s="11"/>
      <c r="C10" s="11"/>
      <c r="D10" s="11"/>
      <c r="E10" s="26"/>
      <c r="F10" s="51"/>
      <c r="G10" s="11"/>
      <c r="H10" s="26"/>
      <c r="I10" s="26"/>
      <c r="J10" s="26"/>
      <c r="K10" s="51"/>
      <c r="L10" s="26"/>
      <c r="M10" s="26"/>
      <c r="N10" s="26"/>
      <c r="O10" s="26"/>
      <c r="P10" s="26"/>
      <c r="Q10" s="11"/>
      <c r="R10" s="11"/>
      <c r="S10" s="11"/>
      <c r="T10" s="11"/>
      <c r="U10" s="88"/>
      <c r="V10" s="11">
        <v>12</v>
      </c>
      <c r="W10" s="11"/>
      <c r="X10" s="11"/>
      <c r="Y10" s="11">
        <v>39370890</v>
      </c>
      <c r="Z10" s="51">
        <v>2.23E-2</v>
      </c>
      <c r="AA10" s="26"/>
      <c r="AB10" s="26"/>
      <c r="AC10" s="26"/>
      <c r="AD10" s="26"/>
      <c r="AE10" s="51"/>
      <c r="AF10" s="11"/>
      <c r="AG10" s="26"/>
      <c r="AH10" s="26"/>
      <c r="AI10" s="26"/>
      <c r="AJ10" s="51"/>
      <c r="AK10" s="11"/>
      <c r="AL10" s="26"/>
      <c r="AM10" s="26"/>
      <c r="AN10" s="26"/>
      <c r="AO10" s="51"/>
      <c r="AP10" s="11">
        <v>10</v>
      </c>
      <c r="AQ10" s="11"/>
      <c r="AR10" s="11"/>
      <c r="AS10" s="11">
        <v>249</v>
      </c>
      <c r="AT10" s="51">
        <v>8.6999999999999994E-3</v>
      </c>
      <c r="AU10" s="11"/>
      <c r="AV10" s="11"/>
      <c r="AW10" s="11"/>
      <c r="AX10" s="11"/>
      <c r="AY10" s="51"/>
      <c r="AZ10" s="11"/>
      <c r="BA10" s="11"/>
      <c r="BB10" s="11"/>
      <c r="BC10" s="11"/>
      <c r="BD10" s="51"/>
      <c r="BE10" s="11"/>
      <c r="BF10" s="11"/>
      <c r="BG10" s="11"/>
      <c r="BH10" s="26"/>
      <c r="BI10" s="84"/>
      <c r="BJ10" s="11"/>
      <c r="BK10" s="11"/>
      <c r="BL10" s="11"/>
      <c r="BM10" s="11"/>
      <c r="BN10" s="26"/>
      <c r="BO10" s="26"/>
      <c r="BP10" s="11"/>
      <c r="BQ10" s="11"/>
      <c r="BR10" s="11"/>
      <c r="BS10" s="84"/>
      <c r="BT10" s="11"/>
      <c r="BU10" s="11"/>
      <c r="BV10" s="11"/>
      <c r="BW10" s="11"/>
      <c r="BX10" s="51"/>
      <c r="BY10" s="26"/>
      <c r="BZ10" s="11"/>
      <c r="CA10" s="11"/>
      <c r="CB10" s="11"/>
      <c r="CC10" s="26"/>
      <c r="CD10" s="26"/>
      <c r="CE10" s="11"/>
      <c r="CF10" s="11"/>
      <c r="CG10" s="11"/>
      <c r="CH10" s="51"/>
      <c r="CI10" s="26"/>
      <c r="CJ10" s="26"/>
      <c r="CK10" s="26"/>
      <c r="CL10" s="26"/>
      <c r="CM10" s="52"/>
      <c r="CN10" s="26"/>
      <c r="CO10" s="11"/>
      <c r="CP10" s="11"/>
      <c r="CQ10" s="11"/>
      <c r="CR10" s="90"/>
      <c r="CS10" s="26"/>
      <c r="CT10" s="26"/>
      <c r="CU10" s="26"/>
      <c r="CV10" s="26"/>
      <c r="CW10" s="51"/>
      <c r="CX10" s="11"/>
      <c r="CY10" s="26"/>
      <c r="CZ10" s="26"/>
      <c r="DA10" s="26"/>
      <c r="DB10" s="51"/>
      <c r="DC10" s="26"/>
      <c r="DD10" s="11"/>
      <c r="DE10" s="11"/>
      <c r="DF10" s="11"/>
      <c r="DG10" s="26"/>
      <c r="DH10" s="26"/>
      <c r="DI10" s="26"/>
      <c r="DJ10" s="26"/>
      <c r="DK10" s="26"/>
      <c r="DL10" s="51"/>
      <c r="DM10" s="11"/>
      <c r="DN10" s="11"/>
      <c r="DO10" s="11"/>
      <c r="DP10" s="11"/>
      <c r="DQ10" s="51"/>
      <c r="DR10" s="11"/>
      <c r="DS10" s="26"/>
      <c r="DT10" s="26"/>
      <c r="DU10" s="26"/>
      <c r="DV10" s="51"/>
      <c r="DW10" s="11"/>
      <c r="DX10" s="11"/>
      <c r="DY10" s="11"/>
      <c r="DZ10" s="26"/>
      <c r="EA10" s="51"/>
      <c r="EB10" s="90"/>
      <c r="EC10" s="51"/>
      <c r="ED10" s="51"/>
      <c r="EE10" s="52"/>
      <c r="EF10" s="51"/>
      <c r="EG10" s="11"/>
      <c r="EH10" s="26"/>
      <c r="EI10" s="26"/>
      <c r="EJ10" s="26"/>
      <c r="EK10" s="51"/>
      <c r="EL10" s="26"/>
      <c r="EM10" s="26"/>
      <c r="EN10" s="26"/>
      <c r="EO10" s="26"/>
      <c r="EP10" s="26"/>
      <c r="EQ10" s="11"/>
      <c r="ER10" s="26"/>
      <c r="ES10" s="26"/>
      <c r="ET10" s="26"/>
      <c r="EU10" s="84"/>
      <c r="EV10" s="11"/>
      <c r="EW10" s="11"/>
      <c r="EX10" s="11"/>
      <c r="EY10" s="11"/>
      <c r="EZ10" s="51"/>
      <c r="FA10" s="11"/>
      <c r="FB10" s="26"/>
      <c r="FC10" s="26"/>
      <c r="FD10" s="26"/>
      <c r="FE10" s="51"/>
      <c r="FF10" s="11">
        <v>3</v>
      </c>
      <c r="FG10" s="26"/>
      <c r="FH10" s="26"/>
      <c r="FI10" s="71">
        <v>81</v>
      </c>
      <c r="FJ10" s="51">
        <v>6.1000000000000004E-3</v>
      </c>
    </row>
    <row r="11" spans="1:166" x14ac:dyDescent="0.25">
      <c r="A11" s="27" t="s">
        <v>186</v>
      </c>
      <c r="B11" s="11"/>
      <c r="C11" s="11"/>
      <c r="D11" s="11"/>
      <c r="E11" s="26"/>
      <c r="F11" s="51"/>
      <c r="G11" s="11"/>
      <c r="H11" s="26"/>
      <c r="I11" s="26"/>
      <c r="J11" s="26"/>
      <c r="K11" s="51"/>
      <c r="L11" s="26"/>
      <c r="M11" s="26"/>
      <c r="N11" s="26"/>
      <c r="O11" s="26"/>
      <c r="P11" s="26"/>
      <c r="Q11" s="11"/>
      <c r="R11" s="11"/>
      <c r="S11" s="11"/>
      <c r="T11" s="11"/>
      <c r="U11" s="88"/>
      <c r="V11" s="11"/>
      <c r="W11" s="26"/>
      <c r="X11" s="26"/>
      <c r="Y11" s="26"/>
      <c r="Z11" s="51"/>
      <c r="AA11" s="26"/>
      <c r="AB11" s="26"/>
      <c r="AC11" s="26"/>
      <c r="AD11" s="26"/>
      <c r="AE11" s="51"/>
      <c r="AF11" s="11"/>
      <c r="AG11" s="26"/>
      <c r="AH11" s="26"/>
      <c r="AI11" s="26"/>
      <c r="AJ11" s="51"/>
      <c r="AK11" s="11"/>
      <c r="AL11" s="26"/>
      <c r="AM11" s="26"/>
      <c r="AN11" s="26"/>
      <c r="AO11" s="51"/>
      <c r="AP11" s="26"/>
      <c r="AQ11" s="11"/>
      <c r="AR11" s="11"/>
      <c r="AS11" s="11"/>
      <c r="AT11" s="84"/>
      <c r="AU11" s="11"/>
      <c r="AV11" s="11"/>
      <c r="AW11" s="11"/>
      <c r="AX11" s="11"/>
      <c r="AY11" s="51"/>
      <c r="AZ11" s="11"/>
      <c r="BA11" s="11"/>
      <c r="BB11" s="11"/>
      <c r="BC11" s="11"/>
      <c r="BD11" s="51"/>
      <c r="BE11" s="11"/>
      <c r="BF11" s="11"/>
      <c r="BG11" s="11"/>
      <c r="BH11" s="26"/>
      <c r="BI11" s="84"/>
      <c r="BJ11" s="11">
        <v>16</v>
      </c>
      <c r="BK11" s="11">
        <v>107</v>
      </c>
      <c r="BL11" s="11">
        <v>2</v>
      </c>
      <c r="BM11" s="11">
        <v>10112</v>
      </c>
      <c r="BN11" s="51">
        <v>8.6999999999999994E-2</v>
      </c>
      <c r="BO11" s="26"/>
      <c r="BP11" s="11"/>
      <c r="BQ11" s="11"/>
      <c r="BR11" s="11"/>
      <c r="BS11" s="84"/>
      <c r="BT11" s="11"/>
      <c r="BU11" s="11"/>
      <c r="BV11" s="11"/>
      <c r="BW11" s="11"/>
      <c r="BX11" s="51"/>
      <c r="BY11" s="26"/>
      <c r="BZ11" s="11"/>
      <c r="CA11" s="11"/>
      <c r="CB11" s="11"/>
      <c r="CC11" s="52"/>
      <c r="CD11" s="26"/>
      <c r="CE11" s="11"/>
      <c r="CF11" s="11"/>
      <c r="CG11" s="11"/>
      <c r="CH11" s="51"/>
      <c r="CI11" s="26"/>
      <c r="CJ11" s="26"/>
      <c r="CK11" s="26"/>
      <c r="CL11" s="26"/>
      <c r="CM11" s="52"/>
      <c r="CN11" s="26"/>
      <c r="CO11" s="11"/>
      <c r="CP11" s="11"/>
      <c r="CQ11" s="11"/>
      <c r="CR11" s="90"/>
      <c r="CS11" s="26"/>
      <c r="CT11" s="26"/>
      <c r="CU11" s="26"/>
      <c r="CV11" s="26"/>
      <c r="CW11" s="51"/>
      <c r="CX11" s="11"/>
      <c r="CY11" s="26"/>
      <c r="CZ11" s="26"/>
      <c r="DA11" s="26"/>
      <c r="DB11" s="51"/>
      <c r="DC11" s="26"/>
      <c r="DD11" s="11"/>
      <c r="DE11" s="11"/>
      <c r="DF11" s="11"/>
      <c r="DG11" s="26"/>
      <c r="DH11" s="26"/>
      <c r="DI11" s="26"/>
      <c r="DJ11" s="26"/>
      <c r="DK11" s="26"/>
      <c r="DL11" s="51"/>
      <c r="DM11" s="11"/>
      <c r="DN11" s="11"/>
      <c r="DO11" s="11"/>
      <c r="DP11" s="11"/>
      <c r="DQ11" s="51"/>
      <c r="DR11" s="11"/>
      <c r="DS11" s="26"/>
      <c r="DT11" s="26"/>
      <c r="DU11" s="26"/>
      <c r="DV11" s="51"/>
      <c r="DW11" s="11"/>
      <c r="DX11" s="11"/>
      <c r="DY11" s="11"/>
      <c r="DZ11" s="26"/>
      <c r="EA11" s="51"/>
      <c r="EB11" s="90"/>
      <c r="EC11" s="51"/>
      <c r="ED11" s="51"/>
      <c r="EE11" s="52"/>
      <c r="EF11" s="51"/>
      <c r="EG11" s="11"/>
      <c r="EH11" s="26"/>
      <c r="EI11" s="26"/>
      <c r="EJ11" s="26"/>
      <c r="EK11" s="51"/>
      <c r="EL11" s="26"/>
      <c r="EM11" s="26"/>
      <c r="EN11" s="26"/>
      <c r="EO11" s="26"/>
      <c r="EP11" s="26"/>
      <c r="EQ11" s="11"/>
      <c r="ER11" s="26"/>
      <c r="ES11" s="26"/>
      <c r="ET11" s="26"/>
      <c r="EU11" s="84"/>
      <c r="EV11" s="11"/>
      <c r="EW11" s="11"/>
      <c r="EX11" s="11"/>
      <c r="EY11" s="11"/>
      <c r="EZ11" s="51"/>
      <c r="FA11" s="11"/>
      <c r="FB11" s="26"/>
      <c r="FC11" s="26"/>
      <c r="FD11" s="26"/>
      <c r="FE11" s="51"/>
      <c r="FF11" s="26"/>
      <c r="FG11" s="26"/>
      <c r="FH11" s="26"/>
      <c r="FI11" s="26"/>
      <c r="FJ11" s="51"/>
    </row>
    <row r="12" spans="1:166" x14ac:dyDescent="0.25">
      <c r="A12" s="26" t="s">
        <v>187</v>
      </c>
      <c r="B12" s="11"/>
      <c r="C12" s="11"/>
      <c r="D12" s="11"/>
      <c r="E12" s="26"/>
      <c r="F12" s="51"/>
      <c r="G12" s="11"/>
      <c r="H12" s="26"/>
      <c r="I12" s="26"/>
      <c r="J12" s="26"/>
      <c r="K12" s="51"/>
      <c r="L12" s="26"/>
      <c r="M12" s="26"/>
      <c r="N12" s="26"/>
      <c r="O12" s="26"/>
      <c r="P12" s="26"/>
      <c r="Q12" s="11"/>
      <c r="R12" s="11"/>
      <c r="S12" s="11"/>
      <c r="T12" s="11"/>
      <c r="U12" s="88"/>
      <c r="V12" s="11"/>
      <c r="W12" s="26"/>
      <c r="X12" s="26"/>
      <c r="Y12" s="26"/>
      <c r="Z12" s="51"/>
      <c r="AA12" s="26"/>
      <c r="AB12" s="26"/>
      <c r="AC12" s="26"/>
      <c r="AD12" s="26"/>
      <c r="AE12" s="51"/>
      <c r="AF12" s="11"/>
      <c r="AG12" s="26"/>
      <c r="AH12" s="26"/>
      <c r="AI12" s="26"/>
      <c r="AJ12" s="51"/>
      <c r="AK12" s="11"/>
      <c r="AL12" s="26"/>
      <c r="AM12" s="26"/>
      <c r="AN12" s="26"/>
      <c r="AO12" s="51"/>
      <c r="AP12" s="26"/>
      <c r="AQ12" s="11"/>
      <c r="AR12" s="11"/>
      <c r="AS12" s="11"/>
      <c r="AT12" s="84"/>
      <c r="AU12" s="11"/>
      <c r="AV12" s="11"/>
      <c r="AW12" s="11"/>
      <c r="AX12" s="11"/>
      <c r="AY12" s="51"/>
      <c r="AZ12" s="11">
        <v>13</v>
      </c>
      <c r="BA12" s="11"/>
      <c r="BB12" s="11"/>
      <c r="BC12" s="11">
        <v>1992</v>
      </c>
      <c r="BD12" s="51">
        <v>2.5100000000000001E-2</v>
      </c>
      <c r="BE12" s="11"/>
      <c r="BF12" s="11"/>
      <c r="BG12" s="11"/>
      <c r="BH12" s="26"/>
      <c r="BI12" s="84"/>
      <c r="BJ12" s="11"/>
      <c r="BK12" s="11"/>
      <c r="BL12" s="11"/>
      <c r="BM12" s="11"/>
      <c r="BN12" s="26"/>
      <c r="BO12" s="11">
        <v>13</v>
      </c>
      <c r="BP12" s="11">
        <v>74</v>
      </c>
      <c r="BQ12" s="11">
        <v>7</v>
      </c>
      <c r="BR12" s="11">
        <v>2523</v>
      </c>
      <c r="BS12" s="84">
        <v>0.04</v>
      </c>
      <c r="BT12" s="11">
        <v>4</v>
      </c>
      <c r="BU12" s="11"/>
      <c r="BV12" s="11"/>
      <c r="BW12" s="11">
        <v>6</v>
      </c>
      <c r="BX12" s="51">
        <v>5.0000000000000001E-3</v>
      </c>
      <c r="BY12" s="26"/>
      <c r="BZ12" s="11"/>
      <c r="CA12" s="11"/>
      <c r="CB12" s="11"/>
      <c r="CC12" s="26"/>
      <c r="CD12" s="26"/>
      <c r="CE12" s="11"/>
      <c r="CF12" s="11"/>
      <c r="CG12" s="11"/>
      <c r="CH12" s="51"/>
      <c r="CI12" s="26"/>
      <c r="CJ12" s="26"/>
      <c r="CK12" s="26"/>
      <c r="CL12" s="26"/>
      <c r="CM12" s="52"/>
      <c r="CN12" s="26"/>
      <c r="CO12" s="11"/>
      <c r="CP12" s="11"/>
      <c r="CQ12" s="11"/>
      <c r="CR12" s="90"/>
      <c r="CS12" s="26"/>
      <c r="CT12" s="26"/>
      <c r="CU12" s="26"/>
      <c r="CV12" s="26"/>
      <c r="CW12" s="51"/>
      <c r="CX12" s="11"/>
      <c r="CY12" s="26"/>
      <c r="CZ12" s="26"/>
      <c r="DA12" s="26"/>
      <c r="DB12" s="51"/>
      <c r="DC12" s="26"/>
      <c r="DD12" s="11"/>
      <c r="DE12" s="11"/>
      <c r="DF12" s="11"/>
      <c r="DG12" s="26"/>
      <c r="DH12" s="26"/>
      <c r="DI12" s="71">
        <v>33360.94</v>
      </c>
      <c r="DJ12" s="71">
        <v>3430.74</v>
      </c>
      <c r="DK12" s="71">
        <v>9279.27</v>
      </c>
      <c r="DL12" s="51">
        <v>0.75439999999999996</v>
      </c>
      <c r="DM12" s="11"/>
      <c r="DN12" s="11"/>
      <c r="DO12" s="11"/>
      <c r="DP12" s="11"/>
      <c r="DQ12" s="51"/>
      <c r="DR12" s="11">
        <v>27</v>
      </c>
      <c r="DS12" s="26">
        <v>7347</v>
      </c>
      <c r="DT12" s="26">
        <v>300</v>
      </c>
      <c r="DU12" s="26">
        <v>5905</v>
      </c>
      <c r="DV12" s="51">
        <v>0.1489</v>
      </c>
      <c r="DW12" s="11"/>
      <c r="DX12" s="11"/>
      <c r="DY12" s="11"/>
      <c r="DZ12" s="26"/>
      <c r="EA12" s="51"/>
      <c r="EB12" s="90"/>
      <c r="EC12" s="51"/>
      <c r="ED12" s="51"/>
      <c r="EE12" s="52"/>
      <c r="EF12" s="51"/>
      <c r="EG12" s="11">
        <v>13</v>
      </c>
      <c r="EH12" s="26"/>
      <c r="EI12" s="26"/>
      <c r="EJ12" s="71">
        <v>4349.08</v>
      </c>
      <c r="EK12" s="51">
        <v>7.9699999999999993E-2</v>
      </c>
      <c r="EL12" s="26"/>
      <c r="EM12" s="26"/>
      <c r="EN12" s="26"/>
      <c r="EO12" s="26"/>
      <c r="EP12" s="26"/>
      <c r="EQ12" s="11"/>
      <c r="ER12" s="26"/>
      <c r="ES12" s="26"/>
      <c r="ET12" s="26"/>
      <c r="EU12" s="84"/>
      <c r="EV12" s="11">
        <v>10</v>
      </c>
      <c r="EW12" s="11">
        <v>96</v>
      </c>
      <c r="EX12" s="11">
        <v>6</v>
      </c>
      <c r="EY12" s="11">
        <v>613</v>
      </c>
      <c r="EZ12" s="51">
        <v>9.2999999999999992E-3</v>
      </c>
      <c r="FA12" s="11"/>
      <c r="FB12" s="26"/>
      <c r="FC12" s="26"/>
      <c r="FD12" s="26"/>
      <c r="FE12" s="51"/>
      <c r="FF12" s="26"/>
      <c r="FG12" s="26"/>
      <c r="FH12" s="26"/>
      <c r="FI12" s="26"/>
      <c r="FJ12" s="51"/>
    </row>
    <row r="13" spans="1:166" x14ac:dyDescent="0.25">
      <c r="A13" s="26" t="s">
        <v>188</v>
      </c>
      <c r="B13" s="11"/>
      <c r="C13" s="11"/>
      <c r="D13" s="11"/>
      <c r="E13" s="26"/>
      <c r="F13" s="51"/>
      <c r="G13" s="11"/>
      <c r="H13" s="26"/>
      <c r="I13" s="26"/>
      <c r="J13" s="26"/>
      <c r="K13" s="51"/>
      <c r="L13" s="26"/>
      <c r="M13" s="26"/>
      <c r="N13" s="26"/>
      <c r="O13" s="26"/>
      <c r="P13" s="26"/>
      <c r="Q13" s="11"/>
      <c r="R13" s="11"/>
      <c r="S13" s="11"/>
      <c r="T13" s="11"/>
      <c r="U13" s="88"/>
      <c r="V13" s="11"/>
      <c r="W13" s="26"/>
      <c r="X13" s="26"/>
      <c r="Y13" s="26"/>
      <c r="Z13" s="51"/>
      <c r="AA13" s="26"/>
      <c r="AB13" s="26"/>
      <c r="AC13" s="26"/>
      <c r="AD13" s="26"/>
      <c r="AE13" s="51"/>
      <c r="AF13" s="11"/>
      <c r="AG13" s="26"/>
      <c r="AH13" s="26"/>
      <c r="AI13" s="26"/>
      <c r="AJ13" s="51"/>
      <c r="AK13" s="11"/>
      <c r="AL13" s="26"/>
      <c r="AM13" s="26"/>
      <c r="AN13" s="26"/>
      <c r="AO13" s="51"/>
      <c r="AP13" s="26"/>
      <c r="AQ13" s="11"/>
      <c r="AR13" s="11"/>
      <c r="AS13" s="11"/>
      <c r="AT13" s="84"/>
      <c r="AU13" s="11"/>
      <c r="AV13" s="11"/>
      <c r="AW13" s="11"/>
      <c r="AX13" s="11"/>
      <c r="AY13" s="51"/>
      <c r="AZ13" s="11"/>
      <c r="BA13" s="11"/>
      <c r="BB13" s="11"/>
      <c r="BC13" s="11"/>
      <c r="BD13" s="51"/>
      <c r="BE13" s="11"/>
      <c r="BF13" s="11"/>
      <c r="BG13" s="11"/>
      <c r="BH13" s="26"/>
      <c r="BI13" s="84"/>
      <c r="BJ13" s="11"/>
      <c r="BK13" s="11"/>
      <c r="BL13" s="11"/>
      <c r="BM13" s="11"/>
      <c r="BN13" s="26"/>
      <c r="BO13" s="26"/>
      <c r="BP13" s="11"/>
      <c r="BQ13" s="11"/>
      <c r="BR13" s="11"/>
      <c r="BS13" s="84"/>
      <c r="BT13" s="11"/>
      <c r="BU13" s="11"/>
      <c r="BV13" s="11"/>
      <c r="BW13" s="11"/>
      <c r="BX13" s="51"/>
      <c r="BY13" s="26"/>
      <c r="BZ13" s="11"/>
      <c r="CA13" s="11"/>
      <c r="CB13" s="11"/>
      <c r="CC13" s="26"/>
      <c r="CD13" s="26"/>
      <c r="CE13" s="11"/>
      <c r="CF13" s="11"/>
      <c r="CG13" s="11"/>
      <c r="CH13" s="26"/>
      <c r="CI13" s="26"/>
      <c r="CJ13" s="26"/>
      <c r="CK13" s="26"/>
      <c r="CL13" s="26"/>
      <c r="CM13" s="26"/>
      <c r="CN13" s="26"/>
      <c r="CO13" s="11"/>
      <c r="CP13" s="11"/>
      <c r="CQ13" s="11"/>
      <c r="CR13" s="90"/>
      <c r="CS13" s="26"/>
      <c r="CT13" s="26"/>
      <c r="CU13" s="26"/>
      <c r="CV13" s="26"/>
      <c r="CW13" s="51"/>
      <c r="CX13" s="11"/>
      <c r="CY13" s="26"/>
      <c r="CZ13" s="26"/>
      <c r="DA13" s="26"/>
      <c r="DB13" s="51"/>
      <c r="DC13" s="26"/>
      <c r="DD13" s="11"/>
      <c r="DE13" s="11"/>
      <c r="DF13" s="11"/>
      <c r="DG13" s="26"/>
      <c r="DH13" s="26"/>
      <c r="DI13" s="71">
        <v>415.57</v>
      </c>
      <c r="DJ13" s="71">
        <v>24.22</v>
      </c>
      <c r="DK13" s="71">
        <v>0.1</v>
      </c>
      <c r="DL13" s="51">
        <v>7.1999999999999998E-3</v>
      </c>
      <c r="DM13" s="11"/>
      <c r="DN13" s="11"/>
      <c r="DO13" s="11"/>
      <c r="DP13" s="11"/>
      <c r="DQ13" s="51"/>
      <c r="DR13" s="11"/>
      <c r="DS13" s="26"/>
      <c r="DT13" s="26"/>
      <c r="DU13" s="26"/>
      <c r="DV13" s="51"/>
      <c r="DW13" s="11"/>
      <c r="DX13" s="11"/>
      <c r="DY13" s="11"/>
      <c r="DZ13" s="26"/>
      <c r="EA13" s="51"/>
      <c r="EB13" s="90"/>
      <c r="EC13" s="51"/>
      <c r="ED13" s="51"/>
      <c r="EE13" s="52"/>
      <c r="EF13" s="51"/>
      <c r="EG13" s="11"/>
      <c r="EH13" s="26"/>
      <c r="EI13" s="26"/>
      <c r="EJ13" s="26"/>
      <c r="EK13" s="51"/>
      <c r="EL13" s="26"/>
      <c r="EM13" s="26"/>
      <c r="EN13" s="26"/>
      <c r="EO13" s="26"/>
      <c r="EP13" s="26"/>
      <c r="EQ13" s="11"/>
      <c r="ER13" s="26"/>
      <c r="ES13" s="26"/>
      <c r="ET13" s="26"/>
      <c r="EU13" s="84"/>
      <c r="EV13" s="11"/>
      <c r="EW13" s="11"/>
      <c r="EX13" s="11"/>
      <c r="EY13" s="11"/>
      <c r="EZ13" s="51"/>
      <c r="FA13" s="11"/>
      <c r="FB13" s="26"/>
      <c r="FC13" s="26"/>
      <c r="FD13" s="26"/>
      <c r="FE13" s="51"/>
      <c r="FF13" s="26"/>
      <c r="FG13" s="26"/>
      <c r="FH13" s="26"/>
      <c r="FI13" s="26"/>
      <c r="FJ13" s="51"/>
    </row>
    <row r="14" spans="1:166" x14ac:dyDescent="0.25">
      <c r="A14" s="71" t="s">
        <v>42</v>
      </c>
      <c r="B14" s="11"/>
      <c r="C14" s="11"/>
      <c r="D14" s="11"/>
      <c r="E14" s="71"/>
      <c r="F14" s="51"/>
      <c r="G14" s="11"/>
      <c r="H14" s="71"/>
      <c r="I14" s="71"/>
      <c r="J14" s="71"/>
      <c r="K14" s="51"/>
      <c r="L14" s="71"/>
      <c r="M14" s="71"/>
      <c r="N14" s="71"/>
      <c r="O14" s="71"/>
      <c r="P14" s="71"/>
      <c r="Q14" s="11"/>
      <c r="R14" s="11"/>
      <c r="S14" s="11"/>
      <c r="T14" s="11"/>
      <c r="U14" s="88"/>
      <c r="V14" s="11"/>
      <c r="W14" s="71"/>
      <c r="X14" s="71"/>
      <c r="Y14" s="71"/>
      <c r="Z14" s="51"/>
      <c r="AA14" s="71"/>
      <c r="AB14" s="71"/>
      <c r="AC14" s="71"/>
      <c r="AD14" s="71"/>
      <c r="AE14" s="51"/>
      <c r="AF14" s="11"/>
      <c r="AG14" s="71"/>
      <c r="AH14" s="71"/>
      <c r="AI14" s="71"/>
      <c r="AJ14" s="51"/>
      <c r="AK14" s="11"/>
      <c r="AL14" s="71"/>
      <c r="AM14" s="71"/>
      <c r="AN14" s="71"/>
      <c r="AO14" s="51"/>
      <c r="AP14" s="71">
        <f>AP15-AP5-AP6-AP7-AP8-AP9-AP10-AP11-AP12-AP13</f>
        <v>8</v>
      </c>
      <c r="AQ14" s="11">
        <f t="shared" ref="AQ14:AT14" si="0">AQ15-AQ5-AQ6-AQ7-AQ8-AQ9-AQ10-AQ11-AQ12-AQ13</f>
        <v>15923</v>
      </c>
      <c r="AR14" s="11">
        <f t="shared" si="0"/>
        <v>2262</v>
      </c>
      <c r="AS14" s="11">
        <f t="shared" si="0"/>
        <v>475</v>
      </c>
      <c r="AT14" s="51">
        <f t="shared" si="0"/>
        <v>0.6520999999999999</v>
      </c>
      <c r="AU14" s="11"/>
      <c r="AV14" s="11"/>
      <c r="AW14" s="11"/>
      <c r="AX14" s="11"/>
      <c r="AY14" s="51"/>
      <c r="AZ14" s="11"/>
      <c r="BA14" s="11"/>
      <c r="BB14" s="11"/>
      <c r="BC14" s="11"/>
      <c r="BD14" s="51"/>
      <c r="BE14" s="11"/>
      <c r="BF14" s="11"/>
      <c r="BG14" s="11"/>
      <c r="BH14" s="71"/>
      <c r="BI14" s="84"/>
      <c r="BJ14" s="11"/>
      <c r="BK14" s="11"/>
      <c r="BL14" s="11"/>
      <c r="BM14" s="11"/>
      <c r="BN14" s="71"/>
      <c r="BO14" s="71"/>
      <c r="BP14" s="11"/>
      <c r="BQ14" s="11"/>
      <c r="BR14" s="11"/>
      <c r="BS14" s="84"/>
      <c r="BT14" s="11"/>
      <c r="BU14" s="11"/>
      <c r="BV14" s="11"/>
      <c r="BW14" s="11"/>
      <c r="BX14" s="51"/>
      <c r="BY14" s="71"/>
      <c r="BZ14" s="11"/>
      <c r="CA14" s="11"/>
      <c r="CB14" s="11"/>
      <c r="CC14" s="71"/>
      <c r="CD14" s="71"/>
      <c r="CE14" s="11"/>
      <c r="CF14" s="11"/>
      <c r="CG14" s="11"/>
      <c r="CH14" s="71"/>
      <c r="CI14" s="71"/>
      <c r="CJ14" s="71"/>
      <c r="CK14" s="71"/>
      <c r="CL14" s="71"/>
      <c r="CM14" s="71"/>
      <c r="CN14" s="71"/>
      <c r="CO14" s="11"/>
      <c r="CP14" s="11"/>
      <c r="CQ14" s="11"/>
      <c r="CR14" s="90"/>
      <c r="CS14" s="71"/>
      <c r="CT14" s="71"/>
      <c r="CU14" s="71"/>
      <c r="CV14" s="71"/>
      <c r="CW14" s="51"/>
      <c r="CX14" s="11"/>
      <c r="CY14" s="71"/>
      <c r="CZ14" s="71"/>
      <c r="DA14" s="71"/>
      <c r="DB14" s="51"/>
      <c r="DC14" s="71"/>
      <c r="DD14" s="11"/>
      <c r="DE14" s="11"/>
      <c r="DF14" s="11"/>
      <c r="DG14" s="71"/>
      <c r="DH14" s="71"/>
      <c r="DI14" s="71">
        <v>89.48</v>
      </c>
      <c r="DJ14" s="71"/>
      <c r="DK14" s="71"/>
      <c r="DL14" s="51">
        <v>1.5E-3</v>
      </c>
      <c r="DM14" s="11"/>
      <c r="DN14" s="11"/>
      <c r="DO14" s="11"/>
      <c r="DP14" s="11"/>
      <c r="DQ14" s="51"/>
      <c r="DR14" s="11"/>
      <c r="DS14" s="71"/>
      <c r="DT14" s="71"/>
      <c r="DU14" s="71"/>
      <c r="DV14" s="51"/>
      <c r="DW14" s="11"/>
      <c r="DX14" s="11"/>
      <c r="DY14" s="11"/>
      <c r="DZ14" s="71"/>
      <c r="EA14" s="51"/>
      <c r="EB14" s="90"/>
      <c r="EC14" s="51"/>
      <c r="ED14" s="51"/>
      <c r="EE14" s="52"/>
      <c r="EF14" s="51"/>
      <c r="EG14" s="11"/>
      <c r="EH14" s="71"/>
      <c r="EI14" s="71"/>
      <c r="EJ14" s="71"/>
      <c r="EK14" s="51"/>
      <c r="EL14" s="71"/>
      <c r="EM14" s="71"/>
      <c r="EN14" s="71"/>
      <c r="EO14" s="71"/>
      <c r="EP14" s="71"/>
      <c r="EQ14" s="11"/>
      <c r="ER14" s="71"/>
      <c r="ES14" s="71"/>
      <c r="ET14" s="71"/>
      <c r="EU14" s="84"/>
      <c r="EV14" s="11">
        <v>1</v>
      </c>
      <c r="EW14" s="11">
        <v>49</v>
      </c>
      <c r="EX14" s="11"/>
      <c r="EY14" s="11">
        <v>2</v>
      </c>
      <c r="EZ14" s="51">
        <v>6.9999999999999999E-4</v>
      </c>
      <c r="FA14" s="11">
        <v>23</v>
      </c>
      <c r="FB14" s="71">
        <v>303.76</v>
      </c>
      <c r="FC14" s="71">
        <v>106.77</v>
      </c>
      <c r="FD14" s="71">
        <v>85.37</v>
      </c>
      <c r="FE14" s="51">
        <v>0.5696</v>
      </c>
      <c r="FF14" s="71"/>
      <c r="FG14" s="71"/>
      <c r="FH14" s="71"/>
      <c r="FI14" s="71"/>
      <c r="FJ14" s="51"/>
    </row>
    <row r="15" spans="1:166" s="56" customFormat="1" x14ac:dyDescent="0.25">
      <c r="A15" s="28" t="s">
        <v>161</v>
      </c>
      <c r="B15" s="44">
        <f t="shared" ref="B15:Y15" si="1">SUM(B5:B13)</f>
        <v>5</v>
      </c>
      <c r="C15" s="44">
        <f t="shared" si="1"/>
        <v>2683</v>
      </c>
      <c r="D15" s="44">
        <f t="shared" si="1"/>
        <v>99</v>
      </c>
      <c r="E15" s="28">
        <f t="shared" si="1"/>
        <v>0</v>
      </c>
      <c r="F15" s="53">
        <f t="shared" si="1"/>
        <v>1</v>
      </c>
      <c r="G15" s="44">
        <f t="shared" si="1"/>
        <v>6</v>
      </c>
      <c r="H15" s="28">
        <f t="shared" si="1"/>
        <v>6098.3</v>
      </c>
      <c r="I15" s="28">
        <f t="shared" si="1"/>
        <v>125.63000000000001</v>
      </c>
      <c r="J15" s="28">
        <f t="shared" si="1"/>
        <v>0</v>
      </c>
      <c r="K15" s="53">
        <f t="shared" si="1"/>
        <v>1</v>
      </c>
      <c r="L15" s="44">
        <f t="shared" si="1"/>
        <v>52</v>
      </c>
      <c r="M15" s="28">
        <f t="shared" si="1"/>
        <v>23547.48</v>
      </c>
      <c r="N15" s="28">
        <f t="shared" si="1"/>
        <v>890.75</v>
      </c>
      <c r="O15" s="28">
        <f t="shared" si="1"/>
        <v>0</v>
      </c>
      <c r="P15" s="53">
        <f t="shared" si="1"/>
        <v>1</v>
      </c>
      <c r="Q15" s="44">
        <f t="shared" si="1"/>
        <v>143</v>
      </c>
      <c r="R15" s="44">
        <f t="shared" si="1"/>
        <v>3077333420</v>
      </c>
      <c r="S15" s="44">
        <f t="shared" si="1"/>
        <v>56187955</v>
      </c>
      <c r="T15" s="44">
        <f t="shared" si="1"/>
        <v>1527477217</v>
      </c>
      <c r="U15" s="85">
        <f t="shared" si="1"/>
        <v>1</v>
      </c>
      <c r="V15" s="44">
        <f t="shared" si="1"/>
        <v>125</v>
      </c>
      <c r="W15" s="44">
        <f t="shared" si="1"/>
        <v>1305424261</v>
      </c>
      <c r="X15" s="44">
        <f t="shared" si="1"/>
        <v>262534163</v>
      </c>
      <c r="Y15" s="44">
        <f t="shared" si="1"/>
        <v>200086689</v>
      </c>
      <c r="Z15" s="53">
        <v>1</v>
      </c>
      <c r="AA15" s="28">
        <f>SUM(AA5:AA13)</f>
        <v>0</v>
      </c>
      <c r="AB15" s="28">
        <f>SUM(AB5:AB13)</f>
        <v>3153.8199999999997</v>
      </c>
      <c r="AC15" s="28">
        <f>SUM(AC5:AC13)</f>
        <v>319.77</v>
      </c>
      <c r="AD15" s="28">
        <f>SUM(AD5:AD13)</f>
        <v>2053.11</v>
      </c>
      <c r="AE15" s="53">
        <v>1</v>
      </c>
      <c r="AF15" s="44">
        <f t="shared" ref="AF15:AO15" si="2">SUM(AF5:AF13)</f>
        <v>19</v>
      </c>
      <c r="AG15" s="28">
        <f t="shared" si="2"/>
        <v>857.13</v>
      </c>
      <c r="AH15" s="28">
        <f t="shared" si="2"/>
        <v>142.31</v>
      </c>
      <c r="AI15" s="28">
        <f t="shared" si="2"/>
        <v>15.43</v>
      </c>
      <c r="AJ15" s="53">
        <f t="shared" si="2"/>
        <v>1</v>
      </c>
      <c r="AK15" s="44">
        <f t="shared" si="2"/>
        <v>10</v>
      </c>
      <c r="AL15" s="28">
        <f t="shared" si="2"/>
        <v>3484.5299999999997</v>
      </c>
      <c r="AM15" s="28">
        <f t="shared" si="2"/>
        <v>1605.59</v>
      </c>
      <c r="AN15" s="28">
        <f t="shared" si="2"/>
        <v>0</v>
      </c>
      <c r="AO15" s="53">
        <f t="shared" si="2"/>
        <v>1</v>
      </c>
      <c r="AP15" s="28">
        <v>86</v>
      </c>
      <c r="AQ15" s="44">
        <v>23578</v>
      </c>
      <c r="AR15" s="44">
        <v>3330</v>
      </c>
      <c r="AS15" s="44">
        <v>1709</v>
      </c>
      <c r="AT15" s="70">
        <v>1</v>
      </c>
      <c r="AU15" s="44">
        <f t="shared" ref="AU15:BZ15" si="3">SUM(AU5:AU13)</f>
        <v>20</v>
      </c>
      <c r="AV15" s="44">
        <f t="shared" si="3"/>
        <v>2854</v>
      </c>
      <c r="AW15" s="44">
        <f t="shared" si="3"/>
        <v>641</v>
      </c>
      <c r="AX15" s="44">
        <f t="shared" si="3"/>
        <v>1309</v>
      </c>
      <c r="AY15" s="53">
        <f t="shared" si="3"/>
        <v>1</v>
      </c>
      <c r="AZ15" s="44">
        <f t="shared" si="3"/>
        <v>143</v>
      </c>
      <c r="BA15" s="44">
        <f t="shared" si="3"/>
        <v>67509.2</v>
      </c>
      <c r="BB15" s="44">
        <f t="shared" si="3"/>
        <v>4388.2</v>
      </c>
      <c r="BC15" s="44">
        <f t="shared" si="3"/>
        <v>7494</v>
      </c>
      <c r="BD15" s="53">
        <f t="shared" si="3"/>
        <v>0.99990000000000012</v>
      </c>
      <c r="BE15" s="44">
        <f t="shared" si="3"/>
        <v>7</v>
      </c>
      <c r="BF15" s="44">
        <f t="shared" si="3"/>
        <v>13003</v>
      </c>
      <c r="BG15" s="44">
        <f t="shared" si="3"/>
        <v>31</v>
      </c>
      <c r="BH15" s="28">
        <f t="shared" si="3"/>
        <v>0</v>
      </c>
      <c r="BI15" s="70">
        <f t="shared" si="3"/>
        <v>1</v>
      </c>
      <c r="BJ15" s="44">
        <f t="shared" si="3"/>
        <v>215</v>
      </c>
      <c r="BK15" s="44">
        <f t="shared" si="3"/>
        <v>87638</v>
      </c>
      <c r="BL15" s="44">
        <f t="shared" si="3"/>
        <v>6467</v>
      </c>
      <c r="BM15" s="44">
        <f t="shared" si="3"/>
        <v>23405</v>
      </c>
      <c r="BN15" s="53">
        <f t="shared" si="3"/>
        <v>1.0001</v>
      </c>
      <c r="BO15" s="28">
        <f t="shared" si="3"/>
        <v>176</v>
      </c>
      <c r="BP15" s="44">
        <f t="shared" si="3"/>
        <v>61452</v>
      </c>
      <c r="BQ15" s="44">
        <f t="shared" si="3"/>
        <v>1191</v>
      </c>
      <c r="BR15" s="44">
        <f t="shared" si="3"/>
        <v>10964</v>
      </c>
      <c r="BS15" s="70">
        <f t="shared" si="3"/>
        <v>1</v>
      </c>
      <c r="BT15" s="44">
        <f t="shared" si="3"/>
        <v>8</v>
      </c>
      <c r="BU15" s="44">
        <f t="shared" si="3"/>
        <v>1148</v>
      </c>
      <c r="BV15" s="44">
        <f t="shared" si="3"/>
        <v>123</v>
      </c>
      <c r="BW15" s="44">
        <f t="shared" si="3"/>
        <v>6</v>
      </c>
      <c r="BX15" s="53">
        <f t="shared" si="3"/>
        <v>1</v>
      </c>
      <c r="BY15" s="28">
        <f t="shared" si="3"/>
        <v>21</v>
      </c>
      <c r="BZ15" s="44">
        <f t="shared" si="3"/>
        <v>6274</v>
      </c>
      <c r="CA15" s="44">
        <f t="shared" ref="CA15:DF15" si="4">SUM(CA5:CA13)</f>
        <v>895</v>
      </c>
      <c r="CB15" s="44">
        <f t="shared" si="4"/>
        <v>39</v>
      </c>
      <c r="CC15" s="70">
        <f t="shared" si="4"/>
        <v>1.0001</v>
      </c>
      <c r="CD15" s="28">
        <f t="shared" si="4"/>
        <v>36</v>
      </c>
      <c r="CE15" s="44">
        <f t="shared" si="4"/>
        <v>8879</v>
      </c>
      <c r="CF15" s="44">
        <f t="shared" si="4"/>
        <v>212</v>
      </c>
      <c r="CG15" s="44">
        <f t="shared" si="4"/>
        <v>1173</v>
      </c>
      <c r="CH15" s="70">
        <f t="shared" si="4"/>
        <v>0.99999999999999989</v>
      </c>
      <c r="CI15" s="28">
        <f t="shared" si="4"/>
        <v>2</v>
      </c>
      <c r="CJ15" s="28">
        <f t="shared" si="4"/>
        <v>715.35</v>
      </c>
      <c r="CK15" s="28">
        <f t="shared" si="4"/>
        <v>24.599999999999998</v>
      </c>
      <c r="CL15" s="28">
        <f t="shared" si="4"/>
        <v>0.05</v>
      </c>
      <c r="CM15" s="85">
        <f t="shared" si="4"/>
        <v>1</v>
      </c>
      <c r="CN15" s="28">
        <f t="shared" si="4"/>
        <v>4</v>
      </c>
      <c r="CO15" s="44">
        <f t="shared" si="4"/>
        <v>7091</v>
      </c>
      <c r="CP15" s="44">
        <f t="shared" si="4"/>
        <v>46</v>
      </c>
      <c r="CQ15" s="44">
        <f t="shared" si="4"/>
        <v>0</v>
      </c>
      <c r="CR15" s="91">
        <f t="shared" si="4"/>
        <v>1</v>
      </c>
      <c r="CS15" s="28">
        <f t="shared" si="4"/>
        <v>0</v>
      </c>
      <c r="CT15" s="28">
        <f t="shared" si="4"/>
        <v>16103.390000000003</v>
      </c>
      <c r="CU15" s="28">
        <f t="shared" si="4"/>
        <v>10680.41</v>
      </c>
      <c r="CV15" s="28">
        <f t="shared" si="4"/>
        <v>19485.260000000002</v>
      </c>
      <c r="CW15" s="53">
        <f t="shared" si="4"/>
        <v>0.99999999999999989</v>
      </c>
      <c r="CX15" s="44">
        <f t="shared" si="4"/>
        <v>17</v>
      </c>
      <c r="CY15" s="28">
        <f t="shared" si="4"/>
        <v>34.729999999999997</v>
      </c>
      <c r="CZ15" s="28">
        <f t="shared" si="4"/>
        <v>115.35</v>
      </c>
      <c r="DA15" s="28">
        <f t="shared" si="4"/>
        <v>0</v>
      </c>
      <c r="DB15" s="53">
        <f t="shared" si="4"/>
        <v>1</v>
      </c>
      <c r="DC15" s="28">
        <f t="shared" si="4"/>
        <v>363</v>
      </c>
      <c r="DD15" s="44">
        <f t="shared" si="4"/>
        <v>36359</v>
      </c>
      <c r="DE15" s="44">
        <f t="shared" si="4"/>
        <v>15600</v>
      </c>
      <c r="DF15" s="44">
        <f t="shared" si="4"/>
        <v>86931.66</v>
      </c>
      <c r="DG15" s="70">
        <f t="shared" ref="DG15:EL15" si="5">SUM(DG5:DG13)</f>
        <v>1.0000000000000002</v>
      </c>
      <c r="DH15" s="28">
        <f t="shared" si="5"/>
        <v>0</v>
      </c>
      <c r="DI15" s="28">
        <f t="shared" si="5"/>
        <v>41574.370000000003</v>
      </c>
      <c r="DJ15" s="28">
        <f t="shared" si="5"/>
        <v>6396.5700000000006</v>
      </c>
      <c r="DK15" s="28">
        <f t="shared" si="5"/>
        <v>13005.37</v>
      </c>
      <c r="DL15" s="53">
        <f>SUM(DL5:DL14)</f>
        <v>0.99999999999999989</v>
      </c>
      <c r="DM15" s="44">
        <f t="shared" si="5"/>
        <v>8</v>
      </c>
      <c r="DN15" s="44">
        <f t="shared" si="5"/>
        <v>450</v>
      </c>
      <c r="DO15" s="44">
        <f t="shared" si="5"/>
        <v>390</v>
      </c>
      <c r="DP15" s="44">
        <f t="shared" si="5"/>
        <v>154</v>
      </c>
      <c r="DQ15" s="53">
        <f t="shared" si="5"/>
        <v>1</v>
      </c>
      <c r="DR15" s="44">
        <f t="shared" si="5"/>
        <v>173</v>
      </c>
      <c r="DS15" s="28">
        <f t="shared" si="5"/>
        <v>77029</v>
      </c>
      <c r="DT15" s="28">
        <f t="shared" si="5"/>
        <v>4103</v>
      </c>
      <c r="DU15" s="28">
        <f t="shared" si="5"/>
        <v>9870</v>
      </c>
      <c r="DV15" s="53">
        <f t="shared" si="5"/>
        <v>1</v>
      </c>
      <c r="DW15" s="44">
        <f t="shared" si="5"/>
        <v>2</v>
      </c>
      <c r="DX15" s="44">
        <f t="shared" si="5"/>
        <v>11887</v>
      </c>
      <c r="DY15" s="44">
        <f t="shared" si="5"/>
        <v>302</v>
      </c>
      <c r="DZ15" s="28">
        <f t="shared" si="5"/>
        <v>0</v>
      </c>
      <c r="EA15" s="53">
        <f t="shared" si="5"/>
        <v>1</v>
      </c>
      <c r="EB15" s="44">
        <f t="shared" si="5"/>
        <v>64</v>
      </c>
      <c r="EC15" s="28">
        <f t="shared" si="5"/>
        <v>18840.36</v>
      </c>
      <c r="ED15" s="28">
        <f t="shared" si="5"/>
        <v>1614.1599999999999</v>
      </c>
      <c r="EE15" s="28">
        <f t="shared" si="5"/>
        <v>695.94</v>
      </c>
      <c r="EF15" s="53">
        <f t="shared" si="5"/>
        <v>1.0001</v>
      </c>
      <c r="EG15" s="44">
        <f t="shared" si="5"/>
        <v>126</v>
      </c>
      <c r="EH15" s="28">
        <f t="shared" si="5"/>
        <v>46579.240000000005</v>
      </c>
      <c r="EI15" s="28">
        <f t="shared" si="5"/>
        <v>2085.7799999999997</v>
      </c>
      <c r="EJ15" s="28">
        <f t="shared" si="5"/>
        <v>5911.3099999999995</v>
      </c>
      <c r="EK15" s="53">
        <f t="shared" si="5"/>
        <v>1</v>
      </c>
      <c r="EL15" s="28">
        <f t="shared" si="5"/>
        <v>23</v>
      </c>
      <c r="EM15" s="28">
        <f t="shared" ref="EM15:FJ15" si="6">SUM(EM5:EM13)</f>
        <v>2939.27</v>
      </c>
      <c r="EN15" s="28">
        <f t="shared" si="6"/>
        <v>333.53</v>
      </c>
      <c r="EO15" s="28">
        <f t="shared" si="6"/>
        <v>16.950000000000003</v>
      </c>
      <c r="EP15" s="53">
        <f t="shared" si="6"/>
        <v>0.99819999999999998</v>
      </c>
      <c r="EQ15" s="44">
        <f t="shared" si="6"/>
        <v>4</v>
      </c>
      <c r="ER15" s="28">
        <f t="shared" si="6"/>
        <v>38457.07</v>
      </c>
      <c r="ES15" s="28">
        <f t="shared" si="6"/>
        <v>36.82</v>
      </c>
      <c r="ET15" s="28">
        <f t="shared" si="6"/>
        <v>0</v>
      </c>
      <c r="EU15" s="70">
        <f t="shared" si="6"/>
        <v>1</v>
      </c>
      <c r="EV15" s="44">
        <f>SUM(EV5:EV14)</f>
        <v>123</v>
      </c>
      <c r="EW15" s="44">
        <f t="shared" ref="EW15:EY15" si="7">SUM(EW5:EW14)</f>
        <v>64210</v>
      </c>
      <c r="EX15" s="44">
        <f t="shared" si="7"/>
        <v>3438</v>
      </c>
      <c r="EY15" s="44">
        <f t="shared" si="7"/>
        <v>9561</v>
      </c>
      <c r="EZ15" s="53">
        <f t="shared" si="6"/>
        <v>0.99939999999999996</v>
      </c>
      <c r="FA15" s="44">
        <f>SUM(FA5:FA14)</f>
        <v>276</v>
      </c>
      <c r="FB15" s="28">
        <f t="shared" ref="FB15:FJ15" si="8">SUM(FB5:FB14)</f>
        <v>428.37</v>
      </c>
      <c r="FC15" s="28">
        <f t="shared" si="8"/>
        <v>186.98</v>
      </c>
      <c r="FD15" s="28">
        <f t="shared" si="8"/>
        <v>255.34</v>
      </c>
      <c r="FE15" s="53">
        <f t="shared" si="8"/>
        <v>1.0001</v>
      </c>
      <c r="FF15" s="44">
        <f t="shared" si="8"/>
        <v>90</v>
      </c>
      <c r="FG15" s="28">
        <f t="shared" si="8"/>
        <v>6335</v>
      </c>
      <c r="FH15" s="28">
        <f t="shared" si="8"/>
        <v>1516</v>
      </c>
      <c r="FI15" s="28">
        <f t="shared" si="8"/>
        <v>5424</v>
      </c>
      <c r="FJ15" s="53">
        <f t="shared" si="8"/>
        <v>1.0000000000000002</v>
      </c>
    </row>
  </sheetData>
  <mergeCells count="133">
    <mergeCell ref="B2:F2"/>
    <mergeCell ref="G2:K2"/>
    <mergeCell ref="L2:P2"/>
    <mergeCell ref="Q2:U2"/>
    <mergeCell ref="V2:Z2"/>
    <mergeCell ref="AA2:AE2"/>
    <mergeCell ref="BY2:CC2"/>
    <mergeCell ref="CD2:CH2"/>
    <mergeCell ref="CI2:CM2"/>
    <mergeCell ref="AZ2:BD2"/>
    <mergeCell ref="CN2:CR2"/>
    <mergeCell ref="AF2:AJ2"/>
    <mergeCell ref="AK2:AO2"/>
    <mergeCell ref="AP2:AT2"/>
    <mergeCell ref="AU2:AY2"/>
    <mergeCell ref="BE2:BI2"/>
    <mergeCell ref="BJ2:BN2"/>
    <mergeCell ref="FF2:FJ2"/>
    <mergeCell ref="EB2:EF2"/>
    <mergeCell ref="EL2:EP2"/>
    <mergeCell ref="EQ2:EU2"/>
    <mergeCell ref="EV2:EZ2"/>
    <mergeCell ref="FA2:FE2"/>
    <mergeCell ref="B3:B4"/>
    <mergeCell ref="C3:E3"/>
    <mergeCell ref="F3:F4"/>
    <mergeCell ref="G3:G4"/>
    <mergeCell ref="H3:J3"/>
    <mergeCell ref="K3:K4"/>
    <mergeCell ref="L3:L4"/>
    <mergeCell ref="DW2:EA2"/>
    <mergeCell ref="EG2:EK2"/>
    <mergeCell ref="CS2:CW2"/>
    <mergeCell ref="CX2:DB2"/>
    <mergeCell ref="DC2:DG2"/>
    <mergeCell ref="DH2:DL2"/>
    <mergeCell ref="DM2:DQ2"/>
    <mergeCell ref="DR2:DV2"/>
    <mergeCell ref="BO2:BS2"/>
    <mergeCell ref="BT2:BX2"/>
    <mergeCell ref="W3:Y3"/>
    <mergeCell ref="Z3:Z4"/>
    <mergeCell ref="AA3:AA4"/>
    <mergeCell ref="AB3:AD3"/>
    <mergeCell ref="AE3:AE4"/>
    <mergeCell ref="AF3:AF4"/>
    <mergeCell ref="M3:O3"/>
    <mergeCell ref="P3:P4"/>
    <mergeCell ref="Q3:Q4"/>
    <mergeCell ref="R3:T3"/>
    <mergeCell ref="U3:U4"/>
    <mergeCell ref="V3:V4"/>
    <mergeCell ref="AQ3:AS3"/>
    <mergeCell ref="AT3:AT4"/>
    <mergeCell ref="AU3:AU4"/>
    <mergeCell ref="AV3:AX3"/>
    <mergeCell ref="BF3:BH3"/>
    <mergeCell ref="BI3:BI4"/>
    <mergeCell ref="BJ3:BJ4"/>
    <mergeCell ref="BK3:BM3"/>
    <mergeCell ref="BN3:BN4"/>
    <mergeCell ref="BO3:BO4"/>
    <mergeCell ref="AY3:AY4"/>
    <mergeCell ref="BE3:BE4"/>
    <mergeCell ref="AG3:AI3"/>
    <mergeCell ref="AJ3:AJ4"/>
    <mergeCell ref="AK3:AK4"/>
    <mergeCell ref="AL3:AN3"/>
    <mergeCell ref="AO3:AO4"/>
    <mergeCell ref="AP3:AP4"/>
    <mergeCell ref="AZ3:AZ4"/>
    <mergeCell ref="BA3:BC3"/>
    <mergeCell ref="BD3:BD4"/>
    <mergeCell ref="BZ3:CB3"/>
    <mergeCell ref="CC3:CC4"/>
    <mergeCell ref="CD3:CD4"/>
    <mergeCell ref="CE3:CG3"/>
    <mergeCell ref="CH3:CH4"/>
    <mergeCell ref="CI3:CI4"/>
    <mergeCell ref="BP3:BR3"/>
    <mergeCell ref="BS3:BS4"/>
    <mergeCell ref="BT3:BT4"/>
    <mergeCell ref="BU3:BW3"/>
    <mergeCell ref="BX3:BX4"/>
    <mergeCell ref="BY3:BY4"/>
    <mergeCell ref="CT3:CV3"/>
    <mergeCell ref="CW3:CW4"/>
    <mergeCell ref="CX3:CX4"/>
    <mergeCell ref="CY3:DA3"/>
    <mergeCell ref="DB3:DB4"/>
    <mergeCell ref="DC3:DC4"/>
    <mergeCell ref="CJ3:CL3"/>
    <mergeCell ref="CM3:CM4"/>
    <mergeCell ref="CN3:CN4"/>
    <mergeCell ref="CO3:CQ3"/>
    <mergeCell ref="CR3:CR4"/>
    <mergeCell ref="CS3:CS4"/>
    <mergeCell ref="DS3:DU3"/>
    <mergeCell ref="DV3:DV4"/>
    <mergeCell ref="DW3:DW4"/>
    <mergeCell ref="EB3:EB4"/>
    <mergeCell ref="EC3:EE3"/>
    <mergeCell ref="EF3:EF4"/>
    <mergeCell ref="DD3:DF3"/>
    <mergeCell ref="DG3:DG4"/>
    <mergeCell ref="DH3:DH4"/>
    <mergeCell ref="DI3:DK3"/>
    <mergeCell ref="DL3:DL4"/>
    <mergeCell ref="DM3:DM4"/>
    <mergeCell ref="A3:A4"/>
    <mergeCell ref="FG3:FI3"/>
    <mergeCell ref="FJ3:FJ4"/>
    <mergeCell ref="EW3:EY3"/>
    <mergeCell ref="EZ3:EZ4"/>
    <mergeCell ref="FA3:FA4"/>
    <mergeCell ref="FB3:FD3"/>
    <mergeCell ref="FE3:FE4"/>
    <mergeCell ref="FF3:FF4"/>
    <mergeCell ref="EM3:EO3"/>
    <mergeCell ref="EP3:EP4"/>
    <mergeCell ref="EQ3:EQ4"/>
    <mergeCell ref="ER3:ET3"/>
    <mergeCell ref="EU3:EU4"/>
    <mergeCell ref="EV3:EV4"/>
    <mergeCell ref="DX3:DZ3"/>
    <mergeCell ref="EA3:EA4"/>
    <mergeCell ref="EG3:EG4"/>
    <mergeCell ref="EH3:EJ3"/>
    <mergeCell ref="EK3:EK4"/>
    <mergeCell ref="EL3:EL4"/>
    <mergeCell ref="DN3:DP3"/>
    <mergeCell ref="DQ3:DQ4"/>
    <mergeCell ref="DR3:DR4"/>
  </mergeCells>
  <pageMargins left="0.7" right="0.7" top="0.75" bottom="0.75" header="0.3" footer="0.3"/>
  <pageSetup paperSize="9" orientation="portrait" horizontalDpi="300" verticalDpi="300" r:id="rId1"/>
  <ignoredErrors>
    <ignoredError sqref="DL15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8" customWidth="1"/>
    <col min="2" max="100" width="10.85546875" style="8" customWidth="1"/>
    <col min="101" max="16384" width="9.140625" style="8"/>
  </cols>
  <sheetData>
    <row r="1" spans="1:100" ht="18.75" x14ac:dyDescent="0.3">
      <c r="A1" s="10" t="s">
        <v>209</v>
      </c>
    </row>
    <row r="2" spans="1:100" x14ac:dyDescent="0.25">
      <c r="A2" s="8" t="s">
        <v>172</v>
      </c>
    </row>
    <row r="3" spans="1:100" x14ac:dyDescent="0.25">
      <c r="A3" s="1" t="s">
        <v>0</v>
      </c>
      <c r="B3" s="113" t="s">
        <v>1</v>
      </c>
      <c r="C3" s="113"/>
      <c r="D3" s="113"/>
      <c r="E3" s="113" t="s">
        <v>2</v>
      </c>
      <c r="F3" s="113"/>
      <c r="G3" s="113"/>
      <c r="H3" s="113" t="s">
        <v>3</v>
      </c>
      <c r="I3" s="113"/>
      <c r="J3" s="113"/>
      <c r="K3" s="100" t="s">
        <v>4</v>
      </c>
      <c r="L3" s="100"/>
      <c r="M3" s="100"/>
      <c r="N3" s="114" t="s">
        <v>5</v>
      </c>
      <c r="O3" s="115"/>
      <c r="P3" s="116"/>
      <c r="Q3" s="113" t="s">
        <v>6</v>
      </c>
      <c r="R3" s="113"/>
      <c r="S3" s="113"/>
      <c r="T3" s="113" t="s">
        <v>7</v>
      </c>
      <c r="U3" s="113"/>
      <c r="V3" s="113"/>
      <c r="W3" s="113" t="s">
        <v>8</v>
      </c>
      <c r="X3" s="113"/>
      <c r="Y3" s="113"/>
      <c r="Z3" s="113" t="s">
        <v>9</v>
      </c>
      <c r="AA3" s="113"/>
      <c r="AB3" s="113"/>
      <c r="AC3" s="113" t="s">
        <v>10</v>
      </c>
      <c r="AD3" s="113"/>
      <c r="AE3" s="113"/>
      <c r="AF3" s="113" t="s">
        <v>11</v>
      </c>
      <c r="AG3" s="113"/>
      <c r="AH3" s="113"/>
      <c r="AI3" s="113" t="s">
        <v>293</v>
      </c>
      <c r="AJ3" s="113"/>
      <c r="AK3" s="113"/>
      <c r="AL3" s="113" t="s">
        <v>12</v>
      </c>
      <c r="AM3" s="113"/>
      <c r="AN3" s="113"/>
      <c r="AO3" s="113" t="s">
        <v>13</v>
      </c>
      <c r="AP3" s="113"/>
      <c r="AQ3" s="113"/>
      <c r="AR3" s="113" t="s">
        <v>14</v>
      </c>
      <c r="AS3" s="113"/>
      <c r="AT3" s="113"/>
      <c r="AU3" s="113" t="s">
        <v>15</v>
      </c>
      <c r="AV3" s="113"/>
      <c r="AW3" s="113"/>
      <c r="AX3" s="113" t="s">
        <v>16</v>
      </c>
      <c r="AY3" s="113"/>
      <c r="AZ3" s="113"/>
      <c r="BA3" s="113" t="s">
        <v>295</v>
      </c>
      <c r="BB3" s="113"/>
      <c r="BC3" s="113"/>
      <c r="BD3" s="113" t="s">
        <v>17</v>
      </c>
      <c r="BE3" s="113"/>
      <c r="BF3" s="113"/>
      <c r="BG3" s="113" t="s">
        <v>18</v>
      </c>
      <c r="BH3" s="113"/>
      <c r="BI3" s="113"/>
      <c r="BJ3" s="113" t="s">
        <v>294</v>
      </c>
      <c r="BK3" s="113"/>
      <c r="BL3" s="113"/>
      <c r="BM3" s="113" t="s">
        <v>19</v>
      </c>
      <c r="BN3" s="113"/>
      <c r="BO3" s="113"/>
      <c r="BP3" s="113" t="s">
        <v>20</v>
      </c>
      <c r="BQ3" s="113"/>
      <c r="BR3" s="113"/>
      <c r="BS3" s="113" t="s">
        <v>21</v>
      </c>
      <c r="BT3" s="113"/>
      <c r="BU3" s="113"/>
      <c r="BV3" s="113" t="s">
        <v>22</v>
      </c>
      <c r="BW3" s="113"/>
      <c r="BX3" s="113"/>
      <c r="BY3" s="113" t="s">
        <v>23</v>
      </c>
      <c r="BZ3" s="113"/>
      <c r="CA3" s="113"/>
      <c r="CB3" s="113" t="s">
        <v>24</v>
      </c>
      <c r="CC3" s="113"/>
      <c r="CD3" s="113"/>
      <c r="CE3" s="113" t="s">
        <v>25</v>
      </c>
      <c r="CF3" s="113"/>
      <c r="CG3" s="113"/>
      <c r="CH3" s="113" t="s">
        <v>26</v>
      </c>
      <c r="CI3" s="113"/>
      <c r="CJ3" s="113"/>
      <c r="CK3" s="113" t="s">
        <v>27</v>
      </c>
      <c r="CL3" s="113"/>
      <c r="CM3" s="113"/>
      <c r="CN3" s="113" t="s">
        <v>28</v>
      </c>
      <c r="CO3" s="113"/>
      <c r="CP3" s="113"/>
      <c r="CQ3" s="113" t="s">
        <v>29</v>
      </c>
      <c r="CR3" s="113"/>
      <c r="CS3" s="113"/>
      <c r="CT3" s="113" t="s">
        <v>30</v>
      </c>
      <c r="CU3" s="113"/>
      <c r="CV3" s="113"/>
    </row>
    <row r="4" spans="1:100" x14ac:dyDescent="0.25">
      <c r="A4" s="11"/>
      <c r="B4" s="41" t="s">
        <v>159</v>
      </c>
      <c r="C4" s="41" t="s">
        <v>160</v>
      </c>
      <c r="D4" s="41" t="s">
        <v>161</v>
      </c>
      <c r="E4" s="41" t="s">
        <v>159</v>
      </c>
      <c r="F4" s="41" t="s">
        <v>160</v>
      </c>
      <c r="G4" s="41" t="s">
        <v>161</v>
      </c>
      <c r="H4" s="41" t="s">
        <v>159</v>
      </c>
      <c r="I4" s="41" t="s">
        <v>160</v>
      </c>
      <c r="J4" s="41" t="s">
        <v>161</v>
      </c>
      <c r="K4" s="41" t="s">
        <v>159</v>
      </c>
      <c r="L4" s="41" t="s">
        <v>160</v>
      </c>
      <c r="M4" s="41" t="s">
        <v>161</v>
      </c>
      <c r="N4" s="41" t="s">
        <v>159</v>
      </c>
      <c r="O4" s="41" t="s">
        <v>160</v>
      </c>
      <c r="P4" s="41" t="s">
        <v>161</v>
      </c>
      <c r="Q4" s="41" t="s">
        <v>159</v>
      </c>
      <c r="R4" s="41" t="s">
        <v>160</v>
      </c>
      <c r="S4" s="41" t="s">
        <v>161</v>
      </c>
      <c r="T4" s="41" t="s">
        <v>159</v>
      </c>
      <c r="U4" s="41" t="s">
        <v>160</v>
      </c>
      <c r="V4" s="41" t="s">
        <v>161</v>
      </c>
      <c r="W4" s="41" t="s">
        <v>159</v>
      </c>
      <c r="X4" s="41" t="s">
        <v>160</v>
      </c>
      <c r="Y4" s="41" t="s">
        <v>161</v>
      </c>
      <c r="Z4" s="41" t="s">
        <v>159</v>
      </c>
      <c r="AA4" s="41" t="s">
        <v>160</v>
      </c>
      <c r="AB4" s="41" t="s">
        <v>161</v>
      </c>
      <c r="AC4" s="41" t="s">
        <v>159</v>
      </c>
      <c r="AD4" s="41" t="s">
        <v>160</v>
      </c>
      <c r="AE4" s="41" t="s">
        <v>161</v>
      </c>
      <c r="AF4" s="41" t="s">
        <v>159</v>
      </c>
      <c r="AG4" s="41" t="s">
        <v>160</v>
      </c>
      <c r="AH4" s="41" t="s">
        <v>161</v>
      </c>
      <c r="AI4" s="41" t="s">
        <v>159</v>
      </c>
      <c r="AJ4" s="41" t="s">
        <v>160</v>
      </c>
      <c r="AK4" s="41" t="s">
        <v>161</v>
      </c>
      <c r="AL4" s="41" t="s">
        <v>159</v>
      </c>
      <c r="AM4" s="41" t="s">
        <v>160</v>
      </c>
      <c r="AN4" s="41" t="s">
        <v>161</v>
      </c>
      <c r="AO4" s="41" t="s">
        <v>159</v>
      </c>
      <c r="AP4" s="41" t="s">
        <v>160</v>
      </c>
      <c r="AQ4" s="41" t="s">
        <v>161</v>
      </c>
      <c r="AR4" s="41" t="s">
        <v>159</v>
      </c>
      <c r="AS4" s="41" t="s">
        <v>160</v>
      </c>
      <c r="AT4" s="41" t="s">
        <v>161</v>
      </c>
      <c r="AU4" s="41" t="s">
        <v>159</v>
      </c>
      <c r="AV4" s="41" t="s">
        <v>160</v>
      </c>
      <c r="AW4" s="41" t="s">
        <v>161</v>
      </c>
      <c r="AX4" s="41" t="s">
        <v>159</v>
      </c>
      <c r="AY4" s="41" t="s">
        <v>160</v>
      </c>
      <c r="AZ4" s="41" t="s">
        <v>161</v>
      </c>
      <c r="BA4" s="41" t="s">
        <v>159</v>
      </c>
      <c r="BB4" s="41" t="s">
        <v>160</v>
      </c>
      <c r="BC4" s="41" t="s">
        <v>161</v>
      </c>
      <c r="BD4" s="41" t="s">
        <v>159</v>
      </c>
      <c r="BE4" s="41" t="s">
        <v>160</v>
      </c>
      <c r="BF4" s="41" t="s">
        <v>161</v>
      </c>
      <c r="BG4" s="41" t="s">
        <v>159</v>
      </c>
      <c r="BH4" s="41" t="s">
        <v>160</v>
      </c>
      <c r="BI4" s="41" t="s">
        <v>161</v>
      </c>
      <c r="BJ4" s="41" t="s">
        <v>159</v>
      </c>
      <c r="BK4" s="41" t="s">
        <v>160</v>
      </c>
      <c r="BL4" s="41" t="s">
        <v>161</v>
      </c>
      <c r="BM4" s="41" t="s">
        <v>159</v>
      </c>
      <c r="BN4" s="41" t="s">
        <v>160</v>
      </c>
      <c r="BO4" s="41" t="s">
        <v>161</v>
      </c>
      <c r="BP4" s="41" t="s">
        <v>159</v>
      </c>
      <c r="BQ4" s="41" t="s">
        <v>160</v>
      </c>
      <c r="BR4" s="41" t="s">
        <v>161</v>
      </c>
      <c r="BS4" s="41" t="s">
        <v>159</v>
      </c>
      <c r="BT4" s="41" t="s">
        <v>160</v>
      </c>
      <c r="BU4" s="41" t="s">
        <v>161</v>
      </c>
      <c r="BV4" s="41" t="s">
        <v>159</v>
      </c>
      <c r="BW4" s="41" t="s">
        <v>160</v>
      </c>
      <c r="BX4" s="41" t="s">
        <v>161</v>
      </c>
      <c r="BY4" s="41" t="s">
        <v>159</v>
      </c>
      <c r="BZ4" s="41" t="s">
        <v>160</v>
      </c>
      <c r="CA4" s="41" t="s">
        <v>161</v>
      </c>
      <c r="CB4" s="41" t="s">
        <v>159</v>
      </c>
      <c r="CC4" s="41" t="s">
        <v>160</v>
      </c>
      <c r="CD4" s="41" t="s">
        <v>161</v>
      </c>
      <c r="CE4" s="41" t="s">
        <v>159</v>
      </c>
      <c r="CF4" s="41" t="s">
        <v>160</v>
      </c>
      <c r="CG4" s="41" t="s">
        <v>161</v>
      </c>
      <c r="CH4" s="41" t="s">
        <v>159</v>
      </c>
      <c r="CI4" s="41" t="s">
        <v>160</v>
      </c>
      <c r="CJ4" s="41" t="s">
        <v>161</v>
      </c>
      <c r="CK4" s="41" t="s">
        <v>159</v>
      </c>
      <c r="CL4" s="41" t="s">
        <v>160</v>
      </c>
      <c r="CM4" s="41" t="s">
        <v>161</v>
      </c>
      <c r="CN4" s="41" t="s">
        <v>159</v>
      </c>
      <c r="CO4" s="41" t="s">
        <v>160</v>
      </c>
      <c r="CP4" s="41" t="s">
        <v>161</v>
      </c>
      <c r="CQ4" s="41" t="s">
        <v>159</v>
      </c>
      <c r="CR4" s="41" t="s">
        <v>160</v>
      </c>
      <c r="CS4" s="41" t="s">
        <v>161</v>
      </c>
      <c r="CT4" s="41" t="s">
        <v>159</v>
      </c>
      <c r="CU4" s="41" t="s">
        <v>160</v>
      </c>
      <c r="CV4" s="41" t="s">
        <v>161</v>
      </c>
    </row>
    <row r="5" spans="1:100" x14ac:dyDescent="0.25">
      <c r="A5" s="11" t="s">
        <v>162</v>
      </c>
      <c r="B5" s="11">
        <v>184</v>
      </c>
      <c r="C5" s="11">
        <f>D5-B5</f>
        <v>11819</v>
      </c>
      <c r="D5" s="11">
        <v>12003</v>
      </c>
      <c r="E5" s="11"/>
      <c r="F5" s="11">
        <f>G5-E5</f>
        <v>5083</v>
      </c>
      <c r="G5" s="11">
        <v>5083</v>
      </c>
      <c r="H5" s="11"/>
      <c r="I5" s="11">
        <f>J5-H5</f>
        <v>8784917</v>
      </c>
      <c r="J5" s="11">
        <v>8784917</v>
      </c>
      <c r="K5" s="11">
        <v>51654</v>
      </c>
      <c r="L5" s="11">
        <f>M5-K5</f>
        <v>216471</v>
      </c>
      <c r="M5" s="11">
        <v>268125</v>
      </c>
      <c r="N5" s="11">
        <v>11241</v>
      </c>
      <c r="O5" s="11">
        <f>P5-N5</f>
        <v>19026</v>
      </c>
      <c r="P5" s="11">
        <v>30267</v>
      </c>
      <c r="Q5" s="11">
        <v>29939</v>
      </c>
      <c r="R5" s="11">
        <f>S5-Q5</f>
        <v>32265</v>
      </c>
      <c r="S5" s="11">
        <v>62204</v>
      </c>
      <c r="T5" s="11">
        <v>122</v>
      </c>
      <c r="U5" s="11">
        <f>V5-T5</f>
        <v>971</v>
      </c>
      <c r="V5" s="11">
        <v>1093</v>
      </c>
      <c r="W5" s="11"/>
      <c r="X5" s="11">
        <f>Y5-W5</f>
        <v>812</v>
      </c>
      <c r="Y5" s="11">
        <v>812</v>
      </c>
      <c r="Z5" s="11">
        <v>8434</v>
      </c>
      <c r="AA5" s="11">
        <f>AB5-Z5</f>
        <v>22897</v>
      </c>
      <c r="AB5" s="11">
        <v>31331</v>
      </c>
      <c r="AC5" s="11">
        <v>2076</v>
      </c>
      <c r="AD5" s="11">
        <f>AE5-AC5</f>
        <v>8276</v>
      </c>
      <c r="AE5" s="11">
        <v>10352</v>
      </c>
      <c r="AF5" s="11">
        <v>32351</v>
      </c>
      <c r="AG5" s="11">
        <f>AH5-AF5</f>
        <v>56550</v>
      </c>
      <c r="AH5" s="11">
        <v>88901</v>
      </c>
      <c r="AI5" s="11"/>
      <c r="AJ5" s="11">
        <f>AK5-AI5</f>
        <v>26509</v>
      </c>
      <c r="AK5" s="11">
        <v>26509</v>
      </c>
      <c r="AL5" s="11">
        <v>51371</v>
      </c>
      <c r="AM5" s="11">
        <f>AN5-AL5</f>
        <v>153414</v>
      </c>
      <c r="AN5" s="11">
        <v>204785</v>
      </c>
      <c r="AO5" s="11">
        <v>35192</v>
      </c>
      <c r="AP5" s="11">
        <f>AQ5-AO5</f>
        <v>52552</v>
      </c>
      <c r="AQ5" s="11">
        <v>87744</v>
      </c>
      <c r="AR5" s="11">
        <v>719</v>
      </c>
      <c r="AS5" s="11">
        <f>AT5-AR5</f>
        <v>2310</v>
      </c>
      <c r="AT5" s="11">
        <v>3029</v>
      </c>
      <c r="AU5" s="11">
        <v>4997</v>
      </c>
      <c r="AV5" s="11">
        <f>AW5-AU5</f>
        <v>10911</v>
      </c>
      <c r="AW5" s="11">
        <v>15908</v>
      </c>
      <c r="AX5" s="11">
        <v>6503</v>
      </c>
      <c r="AY5" s="11">
        <f>AZ5-AX5</f>
        <v>3621</v>
      </c>
      <c r="AZ5" s="11">
        <v>10124</v>
      </c>
      <c r="BA5" s="11"/>
      <c r="BB5" s="11">
        <f>BC5-BA5</f>
        <v>2328</v>
      </c>
      <c r="BC5" s="11">
        <v>2328</v>
      </c>
      <c r="BD5" s="11"/>
      <c r="BE5" s="11">
        <f>BF5-BD5</f>
        <v>1092</v>
      </c>
      <c r="BF5" s="11">
        <v>1092</v>
      </c>
      <c r="BG5" s="11">
        <v>631314</v>
      </c>
      <c r="BH5" s="11">
        <f>BI5-BG5</f>
        <v>618807</v>
      </c>
      <c r="BI5" s="11">
        <v>1250121</v>
      </c>
      <c r="BJ5" s="11">
        <v>126</v>
      </c>
      <c r="BK5" s="11">
        <f>BL5-BJ5</f>
        <v>656</v>
      </c>
      <c r="BL5" s="11">
        <v>782</v>
      </c>
      <c r="BM5" s="11">
        <v>151695</v>
      </c>
      <c r="BN5" s="11">
        <f>BO5-BM5</f>
        <v>240065</v>
      </c>
      <c r="BO5" s="11">
        <v>391760</v>
      </c>
      <c r="BP5" s="11">
        <v>92945</v>
      </c>
      <c r="BQ5" s="11">
        <f>BR5-BP5</f>
        <v>231695</v>
      </c>
      <c r="BR5" s="11">
        <v>324640</v>
      </c>
      <c r="BS5" s="11">
        <v>436</v>
      </c>
      <c r="BT5" s="11">
        <f>BU5-BS5</f>
        <v>289</v>
      </c>
      <c r="BU5" s="11">
        <v>725</v>
      </c>
      <c r="BV5" s="11">
        <v>59194</v>
      </c>
      <c r="BW5" s="11">
        <f>BX5-BV5</f>
        <v>303333</v>
      </c>
      <c r="BX5" s="11">
        <v>362527</v>
      </c>
      <c r="BY5" s="11"/>
      <c r="BZ5" s="11">
        <f>CA5-BY5</f>
        <v>8268</v>
      </c>
      <c r="CA5" s="11">
        <v>8268</v>
      </c>
      <c r="CB5" s="11">
        <v>20424</v>
      </c>
      <c r="CC5" s="11">
        <f>CD5-CB5</f>
        <v>18959</v>
      </c>
      <c r="CD5" s="11">
        <v>39383</v>
      </c>
      <c r="CE5" s="11">
        <v>7368</v>
      </c>
      <c r="CF5" s="11">
        <f>CG5-CE5</f>
        <v>20436</v>
      </c>
      <c r="CG5" s="11">
        <v>27804</v>
      </c>
      <c r="CH5" s="11">
        <v>42292</v>
      </c>
      <c r="CI5" s="11">
        <f>CJ5-CH5</f>
        <v>18062</v>
      </c>
      <c r="CJ5" s="11">
        <v>60354</v>
      </c>
      <c r="CK5" s="11"/>
      <c r="CL5" s="11">
        <f>CM5-CK5</f>
        <v>64222</v>
      </c>
      <c r="CM5" s="11">
        <v>64222</v>
      </c>
      <c r="CN5" s="11">
        <v>22200</v>
      </c>
      <c r="CO5" s="11">
        <f>CP5-CN5</f>
        <v>37631</v>
      </c>
      <c r="CP5" s="11">
        <v>59831</v>
      </c>
      <c r="CQ5" s="39">
        <v>169837</v>
      </c>
      <c r="CR5" s="11">
        <f>CS5-CQ5</f>
        <v>401057</v>
      </c>
      <c r="CS5" s="39">
        <v>570894</v>
      </c>
      <c r="CT5" s="11">
        <v>8039</v>
      </c>
      <c r="CU5" s="11">
        <f>CV5-CT5</f>
        <v>9347</v>
      </c>
      <c r="CV5" s="11">
        <v>17386</v>
      </c>
    </row>
    <row r="6" spans="1:100" x14ac:dyDescent="0.25">
      <c r="A6" s="11" t="s">
        <v>163</v>
      </c>
      <c r="B6" s="11">
        <v>10</v>
      </c>
      <c r="C6" s="11">
        <f t="shared" ref="C6:C14" si="0">D6-B6</f>
        <v>28064</v>
      </c>
      <c r="D6" s="11">
        <v>28074</v>
      </c>
      <c r="E6" s="11"/>
      <c r="F6" s="11">
        <f t="shared" ref="F6:F14" si="1">G6-E6</f>
        <v>9608</v>
      </c>
      <c r="G6" s="11">
        <v>9608</v>
      </c>
      <c r="H6" s="11"/>
      <c r="I6" s="11">
        <f t="shared" ref="I6:I14" si="2">J6-H6</f>
        <v>4036185</v>
      </c>
      <c r="J6" s="11">
        <v>4036185</v>
      </c>
      <c r="K6" s="11">
        <v>1163</v>
      </c>
      <c r="L6" s="11">
        <f t="shared" ref="L6:L14" si="3">M6-K6</f>
        <v>1742349</v>
      </c>
      <c r="M6" s="11">
        <v>1743512</v>
      </c>
      <c r="N6" s="11">
        <v>915</v>
      </c>
      <c r="O6" s="11">
        <f t="shared" ref="O6:O14" si="4">P6-N6</f>
        <v>32871</v>
      </c>
      <c r="P6" s="11">
        <v>33786</v>
      </c>
      <c r="Q6" s="11">
        <v>860</v>
      </c>
      <c r="R6" s="11">
        <f t="shared" ref="R6:R14" si="5">S6-Q6</f>
        <v>32118</v>
      </c>
      <c r="S6" s="11">
        <v>32978</v>
      </c>
      <c r="T6" s="11">
        <v>5</v>
      </c>
      <c r="U6" s="11">
        <f t="shared" ref="U6:U7" si="6">V6-T6</f>
        <v>2981</v>
      </c>
      <c r="V6" s="11">
        <v>2986</v>
      </c>
      <c r="W6" s="11"/>
      <c r="X6" s="11">
        <f t="shared" ref="X6:X14" si="7">Y6-W6</f>
        <v>237</v>
      </c>
      <c r="Y6" s="11">
        <v>237</v>
      </c>
      <c r="Z6" s="11">
        <v>280</v>
      </c>
      <c r="AA6" s="11">
        <f t="shared" ref="AA6:AA14" si="8">AB6-Z6</f>
        <v>32530</v>
      </c>
      <c r="AB6" s="11">
        <v>32810</v>
      </c>
      <c r="AC6" s="11">
        <v>678</v>
      </c>
      <c r="AD6" s="11">
        <f t="shared" ref="AD6:AD14" si="9">AE6-AC6</f>
        <v>19992</v>
      </c>
      <c r="AE6" s="11">
        <v>20670</v>
      </c>
      <c r="AF6" s="11">
        <v>462</v>
      </c>
      <c r="AG6" s="11">
        <f t="shared" ref="AG6:AG14" si="10">AH6-AF6</f>
        <v>605919</v>
      </c>
      <c r="AH6" s="11">
        <v>606381</v>
      </c>
      <c r="AI6" s="11"/>
      <c r="AJ6" s="11">
        <f t="shared" ref="AJ6:AJ14" si="11">AK6-AI6</f>
        <v>57963</v>
      </c>
      <c r="AK6" s="11">
        <v>57963</v>
      </c>
      <c r="AL6" s="11">
        <v>1885</v>
      </c>
      <c r="AM6" s="11">
        <f t="shared" ref="AM6:AM14" si="12">AN6-AL6</f>
        <v>225732</v>
      </c>
      <c r="AN6" s="11">
        <v>227617</v>
      </c>
      <c r="AO6" s="11">
        <v>1098</v>
      </c>
      <c r="AP6" s="11">
        <f t="shared" ref="AP6:AP14" si="13">AQ6-AO6</f>
        <v>209221</v>
      </c>
      <c r="AQ6" s="11">
        <v>210319</v>
      </c>
      <c r="AR6" s="11">
        <v>15</v>
      </c>
      <c r="AS6" s="11">
        <f t="shared" ref="AS6:AS14" si="14">AT6-AR6</f>
        <v>5661</v>
      </c>
      <c r="AT6" s="11">
        <v>5676</v>
      </c>
      <c r="AU6" s="11">
        <v>835</v>
      </c>
      <c r="AV6" s="11">
        <f t="shared" ref="AV6:AV14" si="15">AW6-AU6</f>
        <v>27232</v>
      </c>
      <c r="AW6" s="11">
        <v>28067</v>
      </c>
      <c r="AX6" s="11">
        <v>179</v>
      </c>
      <c r="AY6" s="11">
        <f t="shared" ref="AY6:AY14" si="16">AZ6-AX6</f>
        <v>11136</v>
      </c>
      <c r="AZ6" s="11">
        <v>11315</v>
      </c>
      <c r="BA6" s="11"/>
      <c r="BB6" s="11">
        <f t="shared" ref="BB6:BB14" si="17">BC6-BA6</f>
        <v>42922</v>
      </c>
      <c r="BC6" s="11">
        <v>42922</v>
      </c>
      <c r="BD6" s="11"/>
      <c r="BE6" s="11">
        <f t="shared" ref="BE6:BE14" si="18">BF6-BD6</f>
        <v>18814</v>
      </c>
      <c r="BF6" s="11">
        <v>18814</v>
      </c>
      <c r="BG6" s="11">
        <v>19127</v>
      </c>
      <c r="BH6" s="11">
        <f t="shared" ref="BH6:BH14" si="19">BI6-BG6</f>
        <v>220187</v>
      </c>
      <c r="BI6" s="11">
        <v>239314</v>
      </c>
      <c r="BJ6" s="11">
        <v>21</v>
      </c>
      <c r="BK6" s="11">
        <f t="shared" ref="BK6:BK14" si="20">BL6-BJ6</f>
        <v>1256</v>
      </c>
      <c r="BL6" s="11">
        <v>1277</v>
      </c>
      <c r="BM6" s="11">
        <v>9777</v>
      </c>
      <c r="BN6" s="11">
        <f t="shared" ref="BN6:BN14" si="21">BO6-BM6</f>
        <v>567008</v>
      </c>
      <c r="BO6" s="11">
        <v>576785</v>
      </c>
      <c r="BP6" s="11">
        <v>9315</v>
      </c>
      <c r="BQ6" s="11">
        <f t="shared" ref="BQ6:BQ14" si="22">BR6-BP6</f>
        <v>378737</v>
      </c>
      <c r="BR6" s="11">
        <v>388052</v>
      </c>
      <c r="BS6" s="11">
        <v>26</v>
      </c>
      <c r="BT6" s="11">
        <f t="shared" ref="BT6:BT14" si="23">BU6-BS6</f>
        <v>627</v>
      </c>
      <c r="BU6" s="11">
        <v>653</v>
      </c>
      <c r="BV6" s="11">
        <v>757</v>
      </c>
      <c r="BW6" s="11">
        <f t="shared" ref="BW6:BW14" si="24">BX6-BV6</f>
        <v>225506</v>
      </c>
      <c r="BX6" s="11">
        <v>226263</v>
      </c>
      <c r="BY6" s="11"/>
      <c r="BZ6" s="11">
        <f t="shared" ref="BZ6:BZ14" si="25">CA6-BY6</f>
        <v>39270</v>
      </c>
      <c r="CA6" s="11">
        <v>39270</v>
      </c>
      <c r="CB6" s="11">
        <v>298</v>
      </c>
      <c r="CC6" s="11">
        <f t="shared" ref="CC6:CC14" si="26">CD6-CB6</f>
        <v>67489</v>
      </c>
      <c r="CD6" s="11">
        <v>67787</v>
      </c>
      <c r="CE6" s="11">
        <v>955</v>
      </c>
      <c r="CF6" s="11">
        <f t="shared" ref="CF6:CF14" si="27">CG6-CE6</f>
        <v>434735</v>
      </c>
      <c r="CG6" s="11">
        <v>435690</v>
      </c>
      <c r="CH6" s="11">
        <v>1048</v>
      </c>
      <c r="CI6" s="11">
        <f t="shared" ref="CI6:CI14" si="28">CJ6-CH6</f>
        <v>17993</v>
      </c>
      <c r="CJ6" s="11">
        <v>19041</v>
      </c>
      <c r="CK6" s="11"/>
      <c r="CL6" s="11">
        <f t="shared" ref="CL6:CL14" si="29">CM6-CK6</f>
        <v>134574</v>
      </c>
      <c r="CM6" s="11">
        <v>134574</v>
      </c>
      <c r="CN6" s="11">
        <v>977</v>
      </c>
      <c r="CO6" s="11">
        <f t="shared" ref="CO6:CO14" si="30">CP6-CN6</f>
        <v>124738</v>
      </c>
      <c r="CP6" s="11">
        <v>125715</v>
      </c>
      <c r="CQ6" s="39">
        <v>8990</v>
      </c>
      <c r="CR6" s="11">
        <f t="shared" ref="CR6:CR14" si="31">CS6-CQ6</f>
        <v>565128</v>
      </c>
      <c r="CS6" s="39">
        <v>574118</v>
      </c>
      <c r="CT6" s="11">
        <v>484</v>
      </c>
      <c r="CU6" s="11">
        <f t="shared" ref="CU6:CU14" si="32">CV6-CT6</f>
        <v>25919</v>
      </c>
      <c r="CV6" s="11">
        <v>26403</v>
      </c>
    </row>
    <row r="7" spans="1:100" x14ac:dyDescent="0.25">
      <c r="A7" s="11" t="s">
        <v>164</v>
      </c>
      <c r="B7" s="11">
        <v>3</v>
      </c>
      <c r="C7" s="11">
        <f t="shared" si="0"/>
        <v>22905</v>
      </c>
      <c r="D7" s="11">
        <v>22908</v>
      </c>
      <c r="E7" s="11"/>
      <c r="F7" s="11">
        <f t="shared" si="1"/>
        <v>8900</v>
      </c>
      <c r="G7" s="11">
        <v>8900</v>
      </c>
      <c r="H7" s="11"/>
      <c r="I7" s="11">
        <f t="shared" si="2"/>
        <v>3490763</v>
      </c>
      <c r="J7" s="11">
        <v>3490763</v>
      </c>
      <c r="K7" s="11">
        <v>91</v>
      </c>
      <c r="L7" s="11">
        <f t="shared" si="3"/>
        <v>1670652</v>
      </c>
      <c r="M7" s="11">
        <v>1670743</v>
      </c>
      <c r="N7" s="11">
        <v>370</v>
      </c>
      <c r="O7" s="11">
        <f t="shared" si="4"/>
        <v>26955</v>
      </c>
      <c r="P7" s="11">
        <v>27325</v>
      </c>
      <c r="Q7" s="11">
        <v>830</v>
      </c>
      <c r="R7" s="11">
        <f t="shared" si="5"/>
        <v>26732</v>
      </c>
      <c r="S7" s="11">
        <v>27562</v>
      </c>
      <c r="T7" s="11"/>
      <c r="U7" s="11">
        <f t="shared" si="6"/>
        <v>2565</v>
      </c>
      <c r="V7" s="11">
        <v>2565</v>
      </c>
      <c r="W7" s="11"/>
      <c r="X7" s="11">
        <f t="shared" si="7"/>
        <v>72</v>
      </c>
      <c r="Y7" s="11">
        <v>72</v>
      </c>
      <c r="Z7" s="11">
        <v>136</v>
      </c>
      <c r="AA7" s="11">
        <f t="shared" si="8"/>
        <v>27264</v>
      </c>
      <c r="AB7" s="11">
        <v>27400</v>
      </c>
      <c r="AC7" s="11">
        <v>382</v>
      </c>
      <c r="AD7" s="11">
        <f t="shared" si="9"/>
        <v>16627</v>
      </c>
      <c r="AE7" s="11">
        <v>17009</v>
      </c>
      <c r="AF7" s="11">
        <v>243</v>
      </c>
      <c r="AG7" s="11">
        <f t="shared" si="10"/>
        <v>584665</v>
      </c>
      <c r="AH7" s="11">
        <v>584908</v>
      </c>
      <c r="AI7" s="11"/>
      <c r="AJ7" s="11">
        <f t="shared" si="11"/>
        <v>53753</v>
      </c>
      <c r="AK7" s="11">
        <v>53753</v>
      </c>
      <c r="AL7" s="11">
        <v>1203</v>
      </c>
      <c r="AM7" s="11">
        <f t="shared" si="12"/>
        <v>179861</v>
      </c>
      <c r="AN7" s="11">
        <v>181064</v>
      </c>
      <c r="AO7" s="11">
        <v>1177</v>
      </c>
      <c r="AP7" s="11">
        <f t="shared" si="13"/>
        <v>210591</v>
      </c>
      <c r="AQ7" s="11">
        <v>211768</v>
      </c>
      <c r="AR7" s="11"/>
      <c r="AS7" s="11">
        <f t="shared" si="14"/>
        <v>4171</v>
      </c>
      <c r="AT7" s="11">
        <v>4171</v>
      </c>
      <c r="AU7" s="11">
        <v>65</v>
      </c>
      <c r="AV7" s="11">
        <f t="shared" si="15"/>
        <v>24378</v>
      </c>
      <c r="AW7" s="11">
        <v>24443</v>
      </c>
      <c r="AX7" s="11">
        <v>43</v>
      </c>
      <c r="AY7" s="11">
        <f t="shared" si="16"/>
        <v>7417</v>
      </c>
      <c r="AZ7" s="11">
        <v>7460</v>
      </c>
      <c r="BA7" s="11"/>
      <c r="BB7" s="11">
        <f t="shared" si="17"/>
        <v>37338</v>
      </c>
      <c r="BC7" s="11">
        <v>37338</v>
      </c>
      <c r="BD7" s="11"/>
      <c r="BE7" s="11">
        <f t="shared" si="18"/>
        <v>16371</v>
      </c>
      <c r="BF7" s="11">
        <v>16371</v>
      </c>
      <c r="BG7" s="11">
        <v>21542</v>
      </c>
      <c r="BH7" s="11">
        <f t="shared" si="19"/>
        <v>148440</v>
      </c>
      <c r="BI7" s="11">
        <v>169982</v>
      </c>
      <c r="BJ7" s="11"/>
      <c r="BK7" s="11">
        <f t="shared" si="20"/>
        <v>1091</v>
      </c>
      <c r="BL7" s="11">
        <v>1091</v>
      </c>
      <c r="BM7" s="11">
        <v>6993</v>
      </c>
      <c r="BN7" s="11">
        <f t="shared" si="21"/>
        <v>505738</v>
      </c>
      <c r="BO7" s="11">
        <v>512731</v>
      </c>
      <c r="BP7" s="11">
        <v>8822</v>
      </c>
      <c r="BQ7" s="11">
        <f t="shared" si="22"/>
        <v>268378</v>
      </c>
      <c r="BR7" s="11">
        <v>277200</v>
      </c>
      <c r="BS7" s="11">
        <v>1</v>
      </c>
      <c r="BT7" s="11">
        <f t="shared" si="23"/>
        <v>418</v>
      </c>
      <c r="BU7" s="11">
        <v>419</v>
      </c>
      <c r="BV7" s="11">
        <v>1164</v>
      </c>
      <c r="BW7" s="11">
        <f t="shared" si="24"/>
        <v>159716</v>
      </c>
      <c r="BX7" s="11">
        <v>160880</v>
      </c>
      <c r="BY7" s="11"/>
      <c r="BZ7" s="11">
        <f t="shared" si="25"/>
        <v>32136</v>
      </c>
      <c r="CA7" s="11">
        <v>32136</v>
      </c>
      <c r="CB7" s="11">
        <v>157</v>
      </c>
      <c r="CC7" s="11">
        <f t="shared" si="26"/>
        <v>61179</v>
      </c>
      <c r="CD7" s="11">
        <v>61336</v>
      </c>
      <c r="CE7" s="11">
        <v>92</v>
      </c>
      <c r="CF7" s="11">
        <f t="shared" si="27"/>
        <v>386029</v>
      </c>
      <c r="CG7" s="11">
        <v>386121</v>
      </c>
      <c r="CH7" s="11">
        <v>677</v>
      </c>
      <c r="CI7" s="11">
        <f t="shared" si="28"/>
        <v>19780</v>
      </c>
      <c r="CJ7" s="11">
        <v>20457</v>
      </c>
      <c r="CK7" s="11"/>
      <c r="CL7" s="11">
        <f t="shared" si="29"/>
        <v>114617</v>
      </c>
      <c r="CM7" s="11">
        <v>114617</v>
      </c>
      <c r="CN7" s="11">
        <v>247</v>
      </c>
      <c r="CO7" s="11">
        <f t="shared" si="30"/>
        <v>92678</v>
      </c>
      <c r="CP7" s="11">
        <v>92925</v>
      </c>
      <c r="CQ7" s="39">
        <v>6992</v>
      </c>
      <c r="CR7" s="11">
        <f t="shared" si="31"/>
        <v>421009</v>
      </c>
      <c r="CS7" s="39">
        <v>428001</v>
      </c>
      <c r="CT7" s="11">
        <v>52</v>
      </c>
      <c r="CU7" s="11">
        <f t="shared" si="32"/>
        <v>18289</v>
      </c>
      <c r="CV7" s="11">
        <v>18341</v>
      </c>
    </row>
    <row r="8" spans="1:100" x14ac:dyDescent="0.25">
      <c r="A8" s="11" t="s">
        <v>165</v>
      </c>
      <c r="B8" s="11"/>
      <c r="C8" s="11">
        <f t="shared" si="0"/>
        <v>1954</v>
      </c>
      <c r="D8" s="11">
        <v>1954</v>
      </c>
      <c r="E8" s="11"/>
      <c r="F8" s="11">
        <f t="shared" si="1"/>
        <v>1624</v>
      </c>
      <c r="G8" s="11">
        <v>1624</v>
      </c>
      <c r="H8" s="11"/>
      <c r="I8" s="11">
        <f t="shared" si="2"/>
        <v>24460</v>
      </c>
      <c r="J8" s="11">
        <v>24460</v>
      </c>
      <c r="K8" s="11">
        <v>162</v>
      </c>
      <c r="L8" s="11">
        <f t="shared" si="3"/>
        <v>10266</v>
      </c>
      <c r="M8" s="11">
        <v>10428</v>
      </c>
      <c r="N8" s="11">
        <v>0</v>
      </c>
      <c r="O8" s="11">
        <f t="shared" si="4"/>
        <v>730</v>
      </c>
      <c r="P8" s="11">
        <v>730</v>
      </c>
      <c r="Q8" s="11"/>
      <c r="R8" s="11">
        <f t="shared" si="5"/>
        <v>2047</v>
      </c>
      <c r="S8" s="11">
        <v>2047</v>
      </c>
      <c r="T8" s="11"/>
      <c r="U8" s="11">
        <f t="shared" ref="U8:U14" si="33">V8-T8</f>
        <v>87</v>
      </c>
      <c r="V8" s="11">
        <v>87</v>
      </c>
      <c r="W8" s="11"/>
      <c r="X8" s="11">
        <f t="shared" si="7"/>
        <v>104</v>
      </c>
      <c r="Y8" s="11">
        <v>104</v>
      </c>
      <c r="Z8" s="11">
        <v>47</v>
      </c>
      <c r="AA8" s="11">
        <f t="shared" si="8"/>
        <v>3570</v>
      </c>
      <c r="AB8" s="11">
        <v>3617</v>
      </c>
      <c r="AC8" s="11"/>
      <c r="AD8" s="11">
        <f t="shared" si="9"/>
        <v>1050</v>
      </c>
      <c r="AE8" s="11">
        <v>1050</v>
      </c>
      <c r="AF8" s="11">
        <v>120</v>
      </c>
      <c r="AG8" s="11">
        <f t="shared" si="10"/>
        <v>925</v>
      </c>
      <c r="AH8" s="11">
        <v>1045</v>
      </c>
      <c r="AI8" s="11"/>
      <c r="AJ8" s="11">
        <f t="shared" si="11"/>
        <v>7052</v>
      </c>
      <c r="AK8" s="11">
        <v>7052</v>
      </c>
      <c r="AL8" s="11">
        <v>353</v>
      </c>
      <c r="AM8" s="11">
        <f t="shared" si="12"/>
        <v>26497</v>
      </c>
      <c r="AN8" s="11">
        <v>26850</v>
      </c>
      <c r="AO8" s="11">
        <v>0</v>
      </c>
      <c r="AP8" s="11">
        <f t="shared" si="13"/>
        <v>10652</v>
      </c>
      <c r="AQ8" s="11">
        <v>10652</v>
      </c>
      <c r="AR8" s="11">
        <v>2</v>
      </c>
      <c r="AS8" s="11">
        <f t="shared" si="14"/>
        <v>318</v>
      </c>
      <c r="AT8" s="11">
        <v>320</v>
      </c>
      <c r="AU8" s="11">
        <v>1</v>
      </c>
      <c r="AV8" s="11">
        <f t="shared" si="15"/>
        <v>1998</v>
      </c>
      <c r="AW8" s="11">
        <v>1999</v>
      </c>
      <c r="AX8" s="11"/>
      <c r="AY8" s="11">
        <f t="shared" si="16"/>
        <v>225</v>
      </c>
      <c r="AZ8" s="11">
        <v>225</v>
      </c>
      <c r="BA8" s="11"/>
      <c r="BB8" s="11">
        <f t="shared" si="17"/>
        <v>4180</v>
      </c>
      <c r="BC8" s="11">
        <v>4180</v>
      </c>
      <c r="BD8" s="11"/>
      <c r="BE8" s="11">
        <f t="shared" si="18"/>
        <v>1256</v>
      </c>
      <c r="BF8" s="11">
        <v>1256</v>
      </c>
      <c r="BG8" s="11">
        <v>9659</v>
      </c>
      <c r="BH8" s="11">
        <f t="shared" si="19"/>
        <v>277260</v>
      </c>
      <c r="BI8" s="11">
        <v>286919</v>
      </c>
      <c r="BJ8" s="11"/>
      <c r="BK8" s="11">
        <f t="shared" si="20"/>
        <v>10</v>
      </c>
      <c r="BL8" s="11">
        <v>10</v>
      </c>
      <c r="BM8" s="11">
        <v>129</v>
      </c>
      <c r="BN8" s="11">
        <f t="shared" si="21"/>
        <v>2405</v>
      </c>
      <c r="BO8" s="11">
        <v>2534</v>
      </c>
      <c r="BP8" s="11">
        <v>5</v>
      </c>
      <c r="BQ8" s="11">
        <f t="shared" si="22"/>
        <v>216</v>
      </c>
      <c r="BR8" s="11">
        <v>221</v>
      </c>
      <c r="BS8" s="11"/>
      <c r="BT8" s="11">
        <f t="shared" si="23"/>
        <v>0</v>
      </c>
      <c r="BU8" s="11">
        <v>0</v>
      </c>
      <c r="BV8" s="11"/>
      <c r="BW8" s="11">
        <f t="shared" si="24"/>
        <v>10663</v>
      </c>
      <c r="BX8" s="11">
        <v>10663</v>
      </c>
      <c r="BY8" s="11"/>
      <c r="BZ8" s="11">
        <f t="shared" si="25"/>
        <v>4408</v>
      </c>
      <c r="CA8" s="11">
        <v>4408</v>
      </c>
      <c r="CB8" s="11"/>
      <c r="CC8" s="11">
        <f t="shared" si="26"/>
        <v>1193</v>
      </c>
      <c r="CD8" s="11">
        <v>1193</v>
      </c>
      <c r="CE8" s="11"/>
      <c r="CF8" s="11">
        <f t="shared" si="27"/>
        <v>1472</v>
      </c>
      <c r="CG8" s="11">
        <v>1472</v>
      </c>
      <c r="CH8" s="11">
        <v>213</v>
      </c>
      <c r="CI8" s="11">
        <f t="shared" si="28"/>
        <v>805</v>
      </c>
      <c r="CJ8" s="11">
        <v>1018</v>
      </c>
      <c r="CK8" s="11"/>
      <c r="CL8" s="11">
        <f t="shared" si="29"/>
        <v>17375</v>
      </c>
      <c r="CM8" s="11">
        <v>17375</v>
      </c>
      <c r="CN8" s="11"/>
      <c r="CO8" s="11">
        <f t="shared" si="30"/>
        <v>3243</v>
      </c>
      <c r="CP8" s="11">
        <v>3243</v>
      </c>
      <c r="CQ8" s="39">
        <v>4386</v>
      </c>
      <c r="CR8" s="11">
        <f t="shared" si="31"/>
        <v>39745</v>
      </c>
      <c r="CS8" s="39">
        <v>44131</v>
      </c>
      <c r="CT8" s="11"/>
      <c r="CU8" s="11">
        <f t="shared" si="32"/>
        <v>238</v>
      </c>
      <c r="CV8" s="11">
        <v>238</v>
      </c>
    </row>
    <row r="9" spans="1:100" x14ac:dyDescent="0.25">
      <c r="A9" s="11" t="s">
        <v>166</v>
      </c>
      <c r="B9" s="11"/>
      <c r="C9" s="11">
        <f t="shared" si="0"/>
        <v>2363</v>
      </c>
      <c r="D9" s="11">
        <v>2363</v>
      </c>
      <c r="E9" s="11"/>
      <c r="F9" s="11">
        <f t="shared" si="1"/>
        <v>0</v>
      </c>
      <c r="G9" s="11"/>
      <c r="H9" s="11"/>
      <c r="I9" s="11">
        <f t="shared" si="2"/>
        <v>25258</v>
      </c>
      <c r="J9" s="11">
        <v>25258</v>
      </c>
      <c r="K9" s="11">
        <v>556</v>
      </c>
      <c r="L9" s="11">
        <f t="shared" si="3"/>
        <v>35780</v>
      </c>
      <c r="M9" s="11">
        <v>36336</v>
      </c>
      <c r="N9" s="11">
        <v>0</v>
      </c>
      <c r="O9" s="11">
        <f t="shared" si="4"/>
        <v>5760</v>
      </c>
      <c r="P9" s="11">
        <v>5760</v>
      </c>
      <c r="Q9" s="11">
        <v>498</v>
      </c>
      <c r="R9" s="11">
        <f t="shared" si="5"/>
        <v>1645</v>
      </c>
      <c r="S9" s="11">
        <v>2143</v>
      </c>
      <c r="T9" s="11">
        <v>1</v>
      </c>
      <c r="U9" s="11">
        <f t="shared" si="33"/>
        <v>76</v>
      </c>
      <c r="V9" s="11">
        <v>77</v>
      </c>
      <c r="W9" s="11"/>
      <c r="X9" s="11">
        <f t="shared" si="7"/>
        <v>0</v>
      </c>
      <c r="Y9" s="11">
        <v>0</v>
      </c>
      <c r="Z9" s="11">
        <v>9</v>
      </c>
      <c r="AA9" s="11">
        <f t="shared" si="8"/>
        <v>1768</v>
      </c>
      <c r="AB9" s="11">
        <v>1777</v>
      </c>
      <c r="AC9" s="11"/>
      <c r="AD9" s="11">
        <f t="shared" si="9"/>
        <v>1553</v>
      </c>
      <c r="AE9" s="11">
        <v>1553</v>
      </c>
      <c r="AF9" s="11">
        <v>8</v>
      </c>
      <c r="AG9" s="11">
        <f t="shared" si="10"/>
        <v>7463</v>
      </c>
      <c r="AH9" s="11">
        <v>7471</v>
      </c>
      <c r="AI9" s="11"/>
      <c r="AJ9" s="11">
        <f t="shared" si="11"/>
        <v>0</v>
      </c>
      <c r="AK9" s="11"/>
      <c r="AL9" s="11">
        <v>615</v>
      </c>
      <c r="AM9" s="11">
        <f t="shared" si="12"/>
        <v>14316</v>
      </c>
      <c r="AN9" s="11">
        <v>14931</v>
      </c>
      <c r="AO9" s="11">
        <v>89</v>
      </c>
      <c r="AP9" s="11">
        <f t="shared" si="13"/>
        <v>5984</v>
      </c>
      <c r="AQ9" s="11">
        <v>6073</v>
      </c>
      <c r="AR9" s="11"/>
      <c r="AS9" s="11">
        <f t="shared" si="14"/>
        <v>306</v>
      </c>
      <c r="AT9" s="11">
        <v>306</v>
      </c>
      <c r="AU9" s="11">
        <v>84</v>
      </c>
      <c r="AV9" s="11">
        <f t="shared" si="15"/>
        <v>1516</v>
      </c>
      <c r="AW9" s="11">
        <v>1600</v>
      </c>
      <c r="AX9" s="11">
        <v>32</v>
      </c>
      <c r="AY9" s="11">
        <f t="shared" si="16"/>
        <v>960</v>
      </c>
      <c r="AZ9" s="11">
        <v>992</v>
      </c>
      <c r="BA9" s="11"/>
      <c r="BB9" s="11">
        <f t="shared" si="17"/>
        <v>0</v>
      </c>
      <c r="BC9" s="11"/>
      <c r="BD9" s="11"/>
      <c r="BE9" s="11">
        <f t="shared" si="18"/>
        <v>0</v>
      </c>
      <c r="BF9" s="11"/>
      <c r="BG9" s="11"/>
      <c r="BH9" s="11">
        <f t="shared" si="19"/>
        <v>0</v>
      </c>
      <c r="BI9" s="11"/>
      <c r="BJ9" s="11">
        <v>3</v>
      </c>
      <c r="BK9" s="11">
        <f t="shared" si="20"/>
        <v>191</v>
      </c>
      <c r="BL9" s="11">
        <v>194</v>
      </c>
      <c r="BM9" s="11"/>
      <c r="BN9" s="11">
        <f t="shared" si="21"/>
        <v>0</v>
      </c>
      <c r="BO9" s="11"/>
      <c r="BP9" s="11"/>
      <c r="BQ9" s="11">
        <f t="shared" si="22"/>
        <v>0</v>
      </c>
      <c r="BR9" s="11"/>
      <c r="BS9" s="11"/>
      <c r="BT9" s="11">
        <f t="shared" si="23"/>
        <v>0</v>
      </c>
      <c r="BU9" s="11">
        <v>0</v>
      </c>
      <c r="BV9" s="11">
        <v>618</v>
      </c>
      <c r="BW9" s="11">
        <f t="shared" si="24"/>
        <v>6870</v>
      </c>
      <c r="BX9" s="11">
        <v>7488</v>
      </c>
      <c r="BY9" s="11"/>
      <c r="BZ9" s="11">
        <f t="shared" si="25"/>
        <v>0</v>
      </c>
      <c r="CA9" s="11"/>
      <c r="CB9" s="11">
        <v>0</v>
      </c>
      <c r="CC9" s="11">
        <f t="shared" si="26"/>
        <v>1636</v>
      </c>
      <c r="CD9" s="11">
        <v>1636</v>
      </c>
      <c r="CE9" s="11">
        <v>219</v>
      </c>
      <c r="CF9" s="11">
        <f t="shared" si="27"/>
        <v>17090</v>
      </c>
      <c r="CG9" s="11">
        <v>17309</v>
      </c>
      <c r="CH9" s="11">
        <v>90</v>
      </c>
      <c r="CI9" s="11">
        <f t="shared" si="28"/>
        <v>2678</v>
      </c>
      <c r="CJ9" s="11">
        <v>2768</v>
      </c>
      <c r="CK9" s="11"/>
      <c r="CL9" s="11">
        <f t="shared" si="29"/>
        <v>0</v>
      </c>
      <c r="CM9" s="11"/>
      <c r="CN9" s="11">
        <v>380</v>
      </c>
      <c r="CO9" s="11">
        <f t="shared" si="30"/>
        <v>9125</v>
      </c>
      <c r="CP9" s="11">
        <v>9505</v>
      </c>
      <c r="CQ9" s="39">
        <v>1391</v>
      </c>
      <c r="CR9" s="11">
        <f t="shared" si="31"/>
        <v>523</v>
      </c>
      <c r="CS9" s="39">
        <v>1914</v>
      </c>
      <c r="CT9" s="11">
        <v>47</v>
      </c>
      <c r="CU9" s="11">
        <f t="shared" si="32"/>
        <v>1674</v>
      </c>
      <c r="CV9" s="11">
        <v>1721</v>
      </c>
    </row>
    <row r="10" spans="1:100" x14ac:dyDescent="0.25">
      <c r="A10" s="11" t="s">
        <v>167</v>
      </c>
      <c r="B10" s="11">
        <v>191</v>
      </c>
      <c r="C10" s="11">
        <f t="shared" si="0"/>
        <v>13556</v>
      </c>
      <c r="D10" s="11">
        <v>13747</v>
      </c>
      <c r="E10" s="11"/>
      <c r="F10" s="11">
        <f t="shared" si="1"/>
        <v>4167</v>
      </c>
      <c r="G10" s="11">
        <v>4167</v>
      </c>
      <c r="H10" s="11"/>
      <c r="I10" s="11">
        <f t="shared" si="2"/>
        <v>9280621</v>
      </c>
      <c r="J10" s="11">
        <v>9280621</v>
      </c>
      <c r="K10" s="11">
        <v>52008</v>
      </c>
      <c r="L10" s="11">
        <f t="shared" si="3"/>
        <v>242122</v>
      </c>
      <c r="M10" s="11">
        <v>294130</v>
      </c>
      <c r="N10" s="11">
        <v>11786</v>
      </c>
      <c r="O10" s="11">
        <f t="shared" si="4"/>
        <v>18452</v>
      </c>
      <c r="P10" s="11">
        <v>30238</v>
      </c>
      <c r="Q10" s="11">
        <v>29471</v>
      </c>
      <c r="R10" s="11">
        <f t="shared" si="5"/>
        <v>33959</v>
      </c>
      <c r="S10" s="11">
        <v>63430</v>
      </c>
      <c r="T10" s="11">
        <v>126</v>
      </c>
      <c r="U10" s="11">
        <f t="shared" si="33"/>
        <v>1224</v>
      </c>
      <c r="V10" s="11">
        <v>1350</v>
      </c>
      <c r="W10" s="11"/>
      <c r="X10" s="11">
        <f t="shared" si="7"/>
        <v>873</v>
      </c>
      <c r="Y10" s="11">
        <v>873</v>
      </c>
      <c r="Z10" s="11">
        <v>8522</v>
      </c>
      <c r="AA10" s="11">
        <f t="shared" si="8"/>
        <v>22825</v>
      </c>
      <c r="AB10" s="11">
        <v>31347</v>
      </c>
      <c r="AC10" s="11">
        <v>2372</v>
      </c>
      <c r="AD10" s="11">
        <f t="shared" si="9"/>
        <v>9038</v>
      </c>
      <c r="AE10" s="11">
        <v>11410</v>
      </c>
      <c r="AF10" s="11">
        <v>32442</v>
      </c>
      <c r="AG10" s="11">
        <f t="shared" si="10"/>
        <v>69416</v>
      </c>
      <c r="AH10" s="11">
        <v>101858</v>
      </c>
      <c r="AI10" s="11"/>
      <c r="AJ10" s="11">
        <f t="shared" si="11"/>
        <v>23667</v>
      </c>
      <c r="AK10" s="11">
        <v>23667</v>
      </c>
      <c r="AL10" s="11">
        <v>51085</v>
      </c>
      <c r="AM10" s="11">
        <f t="shared" si="12"/>
        <v>158472</v>
      </c>
      <c r="AN10" s="11">
        <v>209557</v>
      </c>
      <c r="AO10" s="11">
        <v>35471</v>
      </c>
      <c r="AP10" s="11">
        <f t="shared" si="13"/>
        <v>54642</v>
      </c>
      <c r="AQ10" s="11">
        <v>90113</v>
      </c>
      <c r="AR10" s="11">
        <v>732</v>
      </c>
      <c r="AS10" s="11">
        <f t="shared" si="14"/>
        <v>3176</v>
      </c>
      <c r="AT10" s="11">
        <v>3908</v>
      </c>
      <c r="AU10" s="11">
        <v>5682</v>
      </c>
      <c r="AV10" s="11">
        <f t="shared" si="15"/>
        <v>10251</v>
      </c>
      <c r="AW10" s="11">
        <v>15933</v>
      </c>
      <c r="AX10" s="11">
        <v>6607</v>
      </c>
      <c r="AY10" s="11">
        <f t="shared" si="16"/>
        <v>6155</v>
      </c>
      <c r="AZ10" s="11">
        <v>12762</v>
      </c>
      <c r="BA10" s="11"/>
      <c r="BB10" s="11">
        <f t="shared" si="17"/>
        <v>3732</v>
      </c>
      <c r="BC10" s="11">
        <v>3732</v>
      </c>
      <c r="BD10" s="11"/>
      <c r="BE10" s="11">
        <f t="shared" si="18"/>
        <v>2279</v>
      </c>
      <c r="BF10" s="11">
        <v>2279</v>
      </c>
      <c r="BG10" s="11">
        <v>660224</v>
      </c>
      <c r="BH10" s="11">
        <f t="shared" si="19"/>
        <v>607284</v>
      </c>
      <c r="BI10" s="11">
        <v>1267508</v>
      </c>
      <c r="BJ10" s="11">
        <v>144</v>
      </c>
      <c r="BK10" s="11">
        <f t="shared" si="20"/>
        <v>620</v>
      </c>
      <c r="BL10" s="11">
        <v>764</v>
      </c>
      <c r="BM10" s="11">
        <v>154350</v>
      </c>
      <c r="BN10" s="11">
        <f t="shared" si="21"/>
        <v>298930</v>
      </c>
      <c r="BO10" s="11">
        <v>453280</v>
      </c>
      <c r="BP10" s="11">
        <v>93860</v>
      </c>
      <c r="BQ10" s="11">
        <f t="shared" si="22"/>
        <v>359861</v>
      </c>
      <c r="BR10" s="11">
        <v>453721</v>
      </c>
      <c r="BS10" s="11">
        <v>486</v>
      </c>
      <c r="BT10" s="11">
        <f t="shared" si="23"/>
        <v>349</v>
      </c>
      <c r="BU10" s="11">
        <v>835</v>
      </c>
      <c r="BV10" s="11">
        <v>58169</v>
      </c>
      <c r="BW10" s="11">
        <f t="shared" si="24"/>
        <v>351590</v>
      </c>
      <c r="BX10" s="11">
        <v>409759</v>
      </c>
      <c r="BY10" s="11"/>
      <c r="BZ10" s="11">
        <f t="shared" si="25"/>
        <v>10994</v>
      </c>
      <c r="CA10" s="11">
        <v>10994</v>
      </c>
      <c r="CB10" s="11">
        <v>20565</v>
      </c>
      <c r="CC10" s="11">
        <f t="shared" si="26"/>
        <v>23280</v>
      </c>
      <c r="CD10" s="11">
        <v>43845</v>
      </c>
      <c r="CE10" s="11">
        <v>8012</v>
      </c>
      <c r="CF10" s="11">
        <f t="shared" si="27"/>
        <v>50580</v>
      </c>
      <c r="CG10" s="11">
        <v>58592</v>
      </c>
      <c r="CH10" s="11">
        <v>42360</v>
      </c>
      <c r="CI10" s="11">
        <f t="shared" si="28"/>
        <v>12792</v>
      </c>
      <c r="CJ10" s="11">
        <v>55152</v>
      </c>
      <c r="CK10" s="11"/>
      <c r="CL10" s="11">
        <f t="shared" si="29"/>
        <v>66804</v>
      </c>
      <c r="CM10" s="11">
        <v>66804</v>
      </c>
      <c r="CN10" s="11">
        <v>22550</v>
      </c>
      <c r="CO10" s="11">
        <f t="shared" si="30"/>
        <v>57323</v>
      </c>
      <c r="CP10" s="11">
        <v>79873</v>
      </c>
      <c r="CQ10" s="39">
        <v>166058</v>
      </c>
      <c r="CR10" s="11">
        <f t="shared" si="31"/>
        <v>504908</v>
      </c>
      <c r="CS10" s="39">
        <v>670966</v>
      </c>
      <c r="CT10" s="11">
        <v>8424</v>
      </c>
      <c r="CU10" s="11">
        <f t="shared" si="32"/>
        <v>15065</v>
      </c>
      <c r="CV10" s="11">
        <v>23489</v>
      </c>
    </row>
    <row r="11" spans="1:100" x14ac:dyDescent="0.25">
      <c r="A11" s="11" t="s">
        <v>168</v>
      </c>
      <c r="B11" s="11">
        <v>10</v>
      </c>
      <c r="C11" s="11">
        <f t="shared" si="0"/>
        <v>7315</v>
      </c>
      <c r="D11" s="11">
        <v>7325</v>
      </c>
      <c r="E11" s="11"/>
      <c r="F11" s="11">
        <f t="shared" si="1"/>
        <v>3531</v>
      </c>
      <c r="G11" s="11">
        <v>3531</v>
      </c>
      <c r="H11" s="11"/>
      <c r="I11" s="11">
        <f t="shared" si="2"/>
        <v>5245640</v>
      </c>
      <c r="J11" s="11">
        <v>5245640</v>
      </c>
      <c r="K11" s="11">
        <v>1013</v>
      </c>
      <c r="L11" s="11">
        <f t="shared" si="3"/>
        <v>217663</v>
      </c>
      <c r="M11" s="11">
        <v>218676</v>
      </c>
      <c r="N11" s="11">
        <v>259</v>
      </c>
      <c r="O11" s="11">
        <f t="shared" si="4"/>
        <v>11174</v>
      </c>
      <c r="P11" s="11">
        <v>11433</v>
      </c>
      <c r="Q11" s="11">
        <v>827</v>
      </c>
      <c r="R11" s="11">
        <f t="shared" si="5"/>
        <v>13802</v>
      </c>
      <c r="S11" s="11">
        <v>14629</v>
      </c>
      <c r="T11" s="11">
        <v>4</v>
      </c>
      <c r="U11" s="11">
        <f t="shared" si="33"/>
        <v>966</v>
      </c>
      <c r="V11" s="11">
        <v>970</v>
      </c>
      <c r="W11" s="11"/>
      <c r="X11" s="11">
        <f t="shared" si="7"/>
        <v>418</v>
      </c>
      <c r="Y11" s="11">
        <v>418</v>
      </c>
      <c r="Z11" s="11">
        <v>266</v>
      </c>
      <c r="AA11" s="11">
        <f t="shared" si="8"/>
        <v>13299</v>
      </c>
      <c r="AB11" s="11">
        <v>13565</v>
      </c>
      <c r="AC11" s="11">
        <v>279</v>
      </c>
      <c r="AD11" s="11">
        <f t="shared" si="9"/>
        <v>6580</v>
      </c>
      <c r="AE11" s="11">
        <v>6859</v>
      </c>
      <c r="AF11" s="11">
        <v>453</v>
      </c>
      <c r="AG11" s="11">
        <f t="shared" si="10"/>
        <v>49362</v>
      </c>
      <c r="AH11" s="11">
        <v>49815</v>
      </c>
      <c r="AI11" s="11"/>
      <c r="AJ11" s="11">
        <f t="shared" si="11"/>
        <v>21980</v>
      </c>
      <c r="AK11" s="11">
        <v>21980</v>
      </c>
      <c r="AL11" s="11">
        <v>1657</v>
      </c>
      <c r="AM11" s="11">
        <f t="shared" si="12"/>
        <v>125751</v>
      </c>
      <c r="AN11" s="11">
        <v>127408</v>
      </c>
      <c r="AO11" s="11">
        <v>482</v>
      </c>
      <c r="AP11" s="11">
        <f t="shared" si="13"/>
        <v>37265</v>
      </c>
      <c r="AQ11" s="11">
        <v>37747</v>
      </c>
      <c r="AR11" s="11">
        <v>17</v>
      </c>
      <c r="AS11" s="11">
        <f t="shared" si="14"/>
        <v>1868</v>
      </c>
      <c r="AT11" s="11">
        <v>1885</v>
      </c>
      <c r="AU11" s="11">
        <v>820</v>
      </c>
      <c r="AV11" s="11">
        <f t="shared" si="15"/>
        <v>6580</v>
      </c>
      <c r="AW11" s="11">
        <v>7400</v>
      </c>
      <c r="AX11" s="11">
        <v>172</v>
      </c>
      <c r="AY11" s="11">
        <f t="shared" si="16"/>
        <v>4217</v>
      </c>
      <c r="AZ11" s="11">
        <v>4389</v>
      </c>
      <c r="BA11" s="11"/>
      <c r="BB11" s="11">
        <f t="shared" si="17"/>
        <v>3312</v>
      </c>
      <c r="BC11" s="11">
        <v>3312</v>
      </c>
      <c r="BD11" s="11"/>
      <c r="BE11" s="11">
        <f t="shared" si="18"/>
        <v>2261</v>
      </c>
      <c r="BF11" s="11">
        <v>2261</v>
      </c>
      <c r="BG11" s="11">
        <v>2534</v>
      </c>
      <c r="BH11" s="11">
        <f t="shared" si="19"/>
        <v>174596</v>
      </c>
      <c r="BI11" s="11">
        <v>177130</v>
      </c>
      <c r="BJ11" s="11">
        <v>20</v>
      </c>
      <c r="BK11" s="11">
        <f t="shared" si="20"/>
        <v>417</v>
      </c>
      <c r="BL11" s="11">
        <v>437</v>
      </c>
      <c r="BM11" s="11">
        <f>721+1132</f>
        <v>1853</v>
      </c>
      <c r="BN11" s="11">
        <f t="shared" si="21"/>
        <v>164546</v>
      </c>
      <c r="BO11" s="11">
        <f>112023+54376</f>
        <v>166399</v>
      </c>
      <c r="BP11" s="11">
        <v>8914</v>
      </c>
      <c r="BQ11" s="11">
        <f t="shared" si="22"/>
        <v>313222</v>
      </c>
      <c r="BR11" s="11">
        <v>322136</v>
      </c>
      <c r="BS11" s="11">
        <v>20</v>
      </c>
      <c r="BT11" s="11">
        <f t="shared" si="23"/>
        <v>189</v>
      </c>
      <c r="BU11" s="11">
        <v>209</v>
      </c>
      <c r="BV11" s="11">
        <v>383</v>
      </c>
      <c r="BW11" s="11">
        <f t="shared" si="24"/>
        <v>327585</v>
      </c>
      <c r="BX11" s="11">
        <v>327968</v>
      </c>
      <c r="BY11" s="11"/>
      <c r="BZ11" s="11">
        <f t="shared" si="25"/>
        <v>7958</v>
      </c>
      <c r="CA11" s="11">
        <v>7958</v>
      </c>
      <c r="CB11" s="11">
        <v>291</v>
      </c>
      <c r="CC11" s="11">
        <f t="shared" si="26"/>
        <v>13715</v>
      </c>
      <c r="CD11" s="11">
        <v>14006</v>
      </c>
      <c r="CE11" s="11">
        <v>691</v>
      </c>
      <c r="CF11" s="11">
        <f t="shared" si="27"/>
        <v>42984</v>
      </c>
      <c r="CG11" s="11">
        <v>43675</v>
      </c>
      <c r="CH11" s="11">
        <v>853</v>
      </c>
      <c r="CI11" s="11">
        <f t="shared" si="28"/>
        <v>6308</v>
      </c>
      <c r="CJ11" s="11">
        <v>7161</v>
      </c>
      <c r="CK11" s="11"/>
      <c r="CL11" s="11">
        <f t="shared" si="29"/>
        <v>47357</v>
      </c>
      <c r="CM11" s="11">
        <v>47357</v>
      </c>
      <c r="CN11" s="11">
        <v>890</v>
      </c>
      <c r="CO11" s="11">
        <f t="shared" si="30"/>
        <v>35359</v>
      </c>
      <c r="CP11" s="11">
        <v>36249</v>
      </c>
      <c r="CQ11" s="39">
        <v>6472</v>
      </c>
      <c r="CR11" s="11">
        <f t="shared" si="31"/>
        <v>368938</v>
      </c>
      <c r="CS11" s="39">
        <v>375410</v>
      </c>
      <c r="CT11" s="11">
        <v>459</v>
      </c>
      <c r="CU11" s="11">
        <f t="shared" si="32"/>
        <v>11603</v>
      </c>
      <c r="CV11" s="11">
        <v>12062</v>
      </c>
    </row>
    <row r="12" spans="1:100" x14ac:dyDescent="0.25">
      <c r="A12" s="11" t="s">
        <v>169</v>
      </c>
      <c r="B12" s="11">
        <v>90</v>
      </c>
      <c r="C12" s="11">
        <f t="shared" si="0"/>
        <v>1466</v>
      </c>
      <c r="D12" s="11">
        <v>1556</v>
      </c>
      <c r="E12" s="11"/>
      <c r="F12" s="11">
        <f t="shared" si="1"/>
        <v>636</v>
      </c>
      <c r="G12" s="11">
        <v>636</v>
      </c>
      <c r="H12" s="11"/>
      <c r="I12" s="11">
        <f t="shared" si="2"/>
        <v>2317635</v>
      </c>
      <c r="J12" s="11">
        <v>2317635</v>
      </c>
      <c r="K12" s="11">
        <v>4323</v>
      </c>
      <c r="L12" s="11">
        <f t="shared" si="3"/>
        <v>11563</v>
      </c>
      <c r="M12" s="11">
        <v>15886</v>
      </c>
      <c r="N12" s="11">
        <v>1014</v>
      </c>
      <c r="O12" s="11">
        <f t="shared" si="4"/>
        <v>3622</v>
      </c>
      <c r="P12" s="11">
        <v>4636</v>
      </c>
      <c r="Q12" s="11">
        <v>3994</v>
      </c>
      <c r="R12" s="11">
        <f t="shared" si="5"/>
        <v>3711</v>
      </c>
      <c r="S12" s="11">
        <v>7705</v>
      </c>
      <c r="T12" s="11">
        <v>42</v>
      </c>
      <c r="U12" s="11">
        <f t="shared" si="33"/>
        <v>224</v>
      </c>
      <c r="V12" s="11">
        <v>266</v>
      </c>
      <c r="W12" s="11"/>
      <c r="X12" s="11">
        <f t="shared" si="7"/>
        <v>187</v>
      </c>
      <c r="Y12" s="11">
        <v>187</v>
      </c>
      <c r="Z12" s="11">
        <v>959</v>
      </c>
      <c r="AA12" s="11">
        <f t="shared" si="8"/>
        <v>2888</v>
      </c>
      <c r="AB12" s="11">
        <v>3847</v>
      </c>
      <c r="AC12" s="11">
        <v>976</v>
      </c>
      <c r="AD12" s="11">
        <f t="shared" si="9"/>
        <v>1638</v>
      </c>
      <c r="AE12" s="11">
        <v>2614</v>
      </c>
      <c r="AF12" s="11">
        <v>2756</v>
      </c>
      <c r="AG12" s="11">
        <f t="shared" si="10"/>
        <v>8613</v>
      </c>
      <c r="AH12" s="11">
        <v>11369</v>
      </c>
      <c r="AI12" s="11"/>
      <c r="AJ12" s="11">
        <f t="shared" si="11"/>
        <v>329</v>
      </c>
      <c r="AK12" s="11">
        <v>329</v>
      </c>
      <c r="AL12" s="11">
        <v>4657</v>
      </c>
      <c r="AM12" s="11">
        <f t="shared" si="12"/>
        <v>12073</v>
      </c>
      <c r="AN12" s="11">
        <v>16730</v>
      </c>
      <c r="AO12" s="11">
        <v>3263</v>
      </c>
      <c r="AP12" s="11">
        <f t="shared" si="13"/>
        <v>10356</v>
      </c>
      <c r="AQ12" s="11">
        <v>13619</v>
      </c>
      <c r="AR12" s="11">
        <v>110</v>
      </c>
      <c r="AS12" s="11">
        <f t="shared" si="14"/>
        <v>939</v>
      </c>
      <c r="AT12" s="11">
        <v>1049</v>
      </c>
      <c r="AU12" s="11">
        <v>755</v>
      </c>
      <c r="AV12" s="11">
        <f t="shared" si="15"/>
        <v>2031</v>
      </c>
      <c r="AW12" s="11">
        <v>2786</v>
      </c>
      <c r="AX12" s="11">
        <v>1087</v>
      </c>
      <c r="AY12" s="11">
        <f t="shared" si="16"/>
        <v>1172</v>
      </c>
      <c r="AZ12" s="11">
        <v>2259</v>
      </c>
      <c r="BA12" s="11"/>
      <c r="BB12" s="11">
        <f t="shared" si="17"/>
        <v>379</v>
      </c>
      <c r="BC12" s="11">
        <v>379</v>
      </c>
      <c r="BD12" s="11"/>
      <c r="BE12" s="11">
        <f t="shared" si="18"/>
        <v>8</v>
      </c>
      <c r="BF12" s="11">
        <v>8</v>
      </c>
      <c r="BG12" s="11">
        <v>7256</v>
      </c>
      <c r="BH12" s="11">
        <f t="shared" si="19"/>
        <v>149657</v>
      </c>
      <c r="BI12" s="11">
        <v>156913</v>
      </c>
      <c r="BJ12" s="11">
        <v>78</v>
      </c>
      <c r="BK12" s="11">
        <f t="shared" si="20"/>
        <v>154</v>
      </c>
      <c r="BL12" s="11">
        <v>232</v>
      </c>
      <c r="BM12" s="11">
        <v>9862</v>
      </c>
      <c r="BN12" s="11">
        <f t="shared" si="21"/>
        <v>34451</v>
      </c>
      <c r="BO12" s="11">
        <v>44313</v>
      </c>
      <c r="BP12" s="11">
        <v>8512</v>
      </c>
      <c r="BQ12" s="11">
        <f t="shared" si="22"/>
        <v>23853</v>
      </c>
      <c r="BR12" s="11">
        <v>32365</v>
      </c>
      <c r="BS12" s="11">
        <v>78</v>
      </c>
      <c r="BT12" s="11">
        <f t="shared" si="23"/>
        <v>63</v>
      </c>
      <c r="BU12" s="11">
        <v>141</v>
      </c>
      <c r="BV12" s="11">
        <v>3344</v>
      </c>
      <c r="BW12" s="11">
        <f t="shared" si="24"/>
        <v>5983</v>
      </c>
      <c r="BX12" s="11">
        <v>9327</v>
      </c>
      <c r="BY12" s="11"/>
      <c r="BZ12" s="11">
        <f t="shared" si="25"/>
        <v>1879</v>
      </c>
      <c r="CA12" s="11">
        <v>1879</v>
      </c>
      <c r="CB12" s="11">
        <v>1694</v>
      </c>
      <c r="CC12" s="11">
        <f t="shared" si="26"/>
        <v>5004</v>
      </c>
      <c r="CD12" s="11">
        <v>6698</v>
      </c>
      <c r="CE12" s="11">
        <v>1006</v>
      </c>
      <c r="CF12" s="11">
        <f t="shared" si="27"/>
        <v>3327</v>
      </c>
      <c r="CG12" s="11">
        <v>4333</v>
      </c>
      <c r="CH12" s="11">
        <v>2912</v>
      </c>
      <c r="CI12" s="11">
        <f t="shared" si="28"/>
        <v>2421</v>
      </c>
      <c r="CJ12" s="11">
        <v>5333</v>
      </c>
      <c r="CK12" s="11"/>
      <c r="CL12" s="11">
        <f t="shared" si="29"/>
        <v>12325</v>
      </c>
      <c r="CM12" s="11">
        <v>12325</v>
      </c>
      <c r="CN12" s="11">
        <v>4561</v>
      </c>
      <c r="CO12" s="11">
        <f t="shared" si="30"/>
        <v>13272</v>
      </c>
      <c r="CP12" s="11">
        <v>17833</v>
      </c>
      <c r="CQ12" s="39">
        <v>13138</v>
      </c>
      <c r="CR12" s="11">
        <f t="shared" si="31"/>
        <v>54663</v>
      </c>
      <c r="CS12" s="39">
        <v>67801</v>
      </c>
      <c r="CT12" s="11">
        <v>1239</v>
      </c>
      <c r="CU12" s="11">
        <f t="shared" si="32"/>
        <v>2560</v>
      </c>
      <c r="CV12" s="11">
        <v>3799</v>
      </c>
    </row>
    <row r="13" spans="1:100" x14ac:dyDescent="0.25">
      <c r="A13" s="11" t="s">
        <v>170</v>
      </c>
      <c r="B13" s="11">
        <v>80</v>
      </c>
      <c r="C13" s="11">
        <f t="shared" si="0"/>
        <v>4330</v>
      </c>
      <c r="D13" s="11">
        <v>4410</v>
      </c>
      <c r="E13" s="11"/>
      <c r="F13" s="11">
        <f t="shared" si="1"/>
        <v>0</v>
      </c>
      <c r="G13" s="11"/>
      <c r="H13" s="11"/>
      <c r="I13" s="11">
        <f t="shared" si="2"/>
        <v>189336</v>
      </c>
      <c r="J13" s="11">
        <v>189336</v>
      </c>
      <c r="K13" s="11">
        <v>7140</v>
      </c>
      <c r="L13" s="11">
        <f t="shared" si="3"/>
        <v>3526</v>
      </c>
      <c r="M13" s="11">
        <v>10666</v>
      </c>
      <c r="N13" s="11">
        <v>1724</v>
      </c>
      <c r="O13" s="11">
        <f t="shared" si="4"/>
        <v>1567</v>
      </c>
      <c r="P13" s="11">
        <v>3291</v>
      </c>
      <c r="Q13" s="11">
        <v>5613</v>
      </c>
      <c r="R13" s="11">
        <f t="shared" si="5"/>
        <v>1173</v>
      </c>
      <c r="S13" s="11">
        <v>6786</v>
      </c>
      <c r="T13" s="11">
        <v>67</v>
      </c>
      <c r="U13" s="11">
        <f t="shared" si="33"/>
        <v>34</v>
      </c>
      <c r="V13" s="11">
        <v>101</v>
      </c>
      <c r="W13" s="11"/>
      <c r="X13" s="11">
        <f t="shared" si="7"/>
        <v>119</v>
      </c>
      <c r="Y13" s="11">
        <v>119</v>
      </c>
      <c r="Z13" s="11">
        <v>1234</v>
      </c>
      <c r="AA13" s="11">
        <f t="shared" si="8"/>
        <v>1275</v>
      </c>
      <c r="AB13" s="11">
        <v>2509</v>
      </c>
      <c r="AC13" s="11">
        <v>736</v>
      </c>
      <c r="AD13" s="11">
        <f t="shared" si="9"/>
        <v>615</v>
      </c>
      <c r="AE13" s="11">
        <v>1351</v>
      </c>
      <c r="AF13" s="11">
        <v>5865</v>
      </c>
      <c r="AG13" s="11">
        <f t="shared" si="10"/>
        <v>10504</v>
      </c>
      <c r="AH13" s="11">
        <v>16369</v>
      </c>
      <c r="AI13" s="11"/>
      <c r="AJ13" s="11">
        <f t="shared" si="11"/>
        <v>212</v>
      </c>
      <c r="AK13" s="11">
        <v>212</v>
      </c>
      <c r="AL13" s="11">
        <v>7485</v>
      </c>
      <c r="AM13" s="11">
        <f t="shared" si="12"/>
        <v>6725</v>
      </c>
      <c r="AN13" s="11">
        <v>14210</v>
      </c>
      <c r="AO13" s="11">
        <v>6691</v>
      </c>
      <c r="AP13" s="11">
        <f t="shared" si="13"/>
        <v>3628</v>
      </c>
      <c r="AQ13" s="11">
        <v>10319</v>
      </c>
      <c r="AR13" s="11">
        <v>206</v>
      </c>
      <c r="AS13" s="11">
        <f t="shared" si="14"/>
        <v>299</v>
      </c>
      <c r="AT13" s="11">
        <v>505</v>
      </c>
      <c r="AU13" s="11">
        <v>1114</v>
      </c>
      <c r="AV13" s="11">
        <f t="shared" si="15"/>
        <v>819</v>
      </c>
      <c r="AW13" s="11">
        <v>1933</v>
      </c>
      <c r="AX13" s="11">
        <v>1593</v>
      </c>
      <c r="AY13" s="11">
        <f t="shared" si="16"/>
        <v>319</v>
      </c>
      <c r="AZ13" s="11">
        <v>1912</v>
      </c>
      <c r="BA13" s="11"/>
      <c r="BB13" s="11">
        <f t="shared" si="17"/>
        <v>33</v>
      </c>
      <c r="BC13" s="11">
        <v>33</v>
      </c>
      <c r="BD13" s="11"/>
      <c r="BE13" s="11">
        <f t="shared" si="18"/>
        <v>10</v>
      </c>
      <c r="BF13" s="11">
        <v>10</v>
      </c>
      <c r="BG13" s="11">
        <v>13723</v>
      </c>
      <c r="BH13" s="11">
        <f t="shared" si="19"/>
        <v>39689</v>
      </c>
      <c r="BI13" s="11">
        <v>53412</v>
      </c>
      <c r="BJ13" s="11">
        <v>43</v>
      </c>
      <c r="BK13" s="11">
        <f t="shared" si="20"/>
        <v>45</v>
      </c>
      <c r="BL13" s="11">
        <v>88</v>
      </c>
      <c r="BM13" s="11">
        <v>21265</v>
      </c>
      <c r="BN13" s="11">
        <f t="shared" si="21"/>
        <v>80303</v>
      </c>
      <c r="BO13" s="11">
        <v>101568</v>
      </c>
      <c r="BP13" s="11">
        <v>16107</v>
      </c>
      <c r="BQ13" s="11">
        <f t="shared" si="22"/>
        <v>11687</v>
      </c>
      <c r="BR13" s="11">
        <v>27794</v>
      </c>
      <c r="BS13" s="11">
        <v>144</v>
      </c>
      <c r="BT13" s="11">
        <f t="shared" si="23"/>
        <v>79</v>
      </c>
      <c r="BU13" s="11">
        <v>223</v>
      </c>
      <c r="BV13" s="11">
        <v>6832</v>
      </c>
      <c r="BW13" s="11">
        <f t="shared" si="24"/>
        <v>4082</v>
      </c>
      <c r="BX13" s="11">
        <v>10914</v>
      </c>
      <c r="BY13" s="11"/>
      <c r="BZ13" s="11">
        <f t="shared" si="25"/>
        <v>1157</v>
      </c>
      <c r="CA13" s="11">
        <v>1157</v>
      </c>
      <c r="CB13" s="11">
        <v>3242</v>
      </c>
      <c r="CC13" s="11">
        <f t="shared" si="26"/>
        <v>1974</v>
      </c>
      <c r="CD13" s="11">
        <v>5216</v>
      </c>
      <c r="CE13" s="11">
        <v>1246</v>
      </c>
      <c r="CF13" s="11">
        <f t="shared" si="27"/>
        <v>1341</v>
      </c>
      <c r="CG13" s="11">
        <v>2587</v>
      </c>
      <c r="CH13" s="11">
        <v>5689</v>
      </c>
      <c r="CI13" s="11">
        <f t="shared" si="28"/>
        <v>1254</v>
      </c>
      <c r="CJ13" s="11">
        <v>6943</v>
      </c>
      <c r="CK13" s="11"/>
      <c r="CL13" s="11">
        <f t="shared" si="29"/>
        <v>6225</v>
      </c>
      <c r="CM13" s="11">
        <v>6225</v>
      </c>
      <c r="CN13" s="11">
        <v>4660</v>
      </c>
      <c r="CO13" s="11">
        <f t="shared" si="30"/>
        <v>5373</v>
      </c>
      <c r="CP13" s="11">
        <v>10033</v>
      </c>
      <c r="CQ13" s="39">
        <v>22398</v>
      </c>
      <c r="CR13" s="11">
        <f t="shared" si="31"/>
        <v>31041</v>
      </c>
      <c r="CS13" s="39">
        <v>53439</v>
      </c>
      <c r="CT13" s="11">
        <v>1150</v>
      </c>
      <c r="CU13" s="11">
        <f t="shared" si="32"/>
        <v>566</v>
      </c>
      <c r="CV13" s="11">
        <v>1716</v>
      </c>
    </row>
    <row r="14" spans="1:100" x14ac:dyDescent="0.25">
      <c r="A14" s="11" t="s">
        <v>171</v>
      </c>
      <c r="B14" s="11">
        <v>11</v>
      </c>
      <c r="C14" s="11">
        <f t="shared" si="0"/>
        <v>445</v>
      </c>
      <c r="D14" s="11">
        <v>456</v>
      </c>
      <c r="E14" s="11"/>
      <c r="F14" s="11">
        <f t="shared" si="1"/>
        <v>0</v>
      </c>
      <c r="G14" s="11"/>
      <c r="H14" s="11"/>
      <c r="I14" s="11">
        <f t="shared" si="2"/>
        <v>1528010</v>
      </c>
      <c r="J14" s="11">
        <v>1528010</v>
      </c>
      <c r="K14" s="11">
        <v>39532</v>
      </c>
      <c r="L14" s="11">
        <f t="shared" si="3"/>
        <v>9370</v>
      </c>
      <c r="M14" s="11">
        <v>48902</v>
      </c>
      <c r="N14" s="11">
        <v>8789</v>
      </c>
      <c r="O14" s="11">
        <f t="shared" si="4"/>
        <v>2089</v>
      </c>
      <c r="P14" s="11">
        <v>10878</v>
      </c>
      <c r="Q14" s="11">
        <v>19037</v>
      </c>
      <c r="R14" s="11">
        <f t="shared" si="5"/>
        <v>15273</v>
      </c>
      <c r="S14" s="11">
        <v>34310</v>
      </c>
      <c r="T14" s="11">
        <v>13</v>
      </c>
      <c r="U14" s="11">
        <f t="shared" si="33"/>
        <v>0</v>
      </c>
      <c r="V14" s="11">
        <v>13</v>
      </c>
      <c r="W14" s="11"/>
      <c r="X14" s="11">
        <f t="shared" si="7"/>
        <v>149</v>
      </c>
      <c r="Y14" s="11">
        <v>149</v>
      </c>
      <c r="Z14" s="11">
        <v>6063</v>
      </c>
      <c r="AA14" s="11">
        <f t="shared" si="8"/>
        <v>5363</v>
      </c>
      <c r="AB14" s="11">
        <v>11426</v>
      </c>
      <c r="AC14" s="11">
        <v>381</v>
      </c>
      <c r="AD14" s="11">
        <f t="shared" si="9"/>
        <v>205</v>
      </c>
      <c r="AE14" s="11">
        <v>586</v>
      </c>
      <c r="AF14" s="11">
        <v>23368</v>
      </c>
      <c r="AG14" s="11">
        <f t="shared" si="10"/>
        <v>937</v>
      </c>
      <c r="AH14" s="11">
        <v>24305</v>
      </c>
      <c r="AI14" s="11"/>
      <c r="AJ14" s="11">
        <f t="shared" si="11"/>
        <v>1146</v>
      </c>
      <c r="AK14" s="11">
        <v>1146</v>
      </c>
      <c r="AL14" s="11">
        <v>37286</v>
      </c>
      <c r="AM14" s="11">
        <f t="shared" si="12"/>
        <v>13923</v>
      </c>
      <c r="AN14" s="11">
        <v>51209</v>
      </c>
      <c r="AO14" s="11">
        <v>25035</v>
      </c>
      <c r="AP14" s="11">
        <f t="shared" si="13"/>
        <v>3393</v>
      </c>
      <c r="AQ14" s="11">
        <v>28428</v>
      </c>
      <c r="AR14" s="11">
        <v>399</v>
      </c>
      <c r="AS14" s="11">
        <f t="shared" si="14"/>
        <v>70</v>
      </c>
      <c r="AT14" s="11">
        <v>469</v>
      </c>
      <c r="AU14" s="11">
        <v>2993</v>
      </c>
      <c r="AV14" s="11">
        <f t="shared" si="15"/>
        <v>821</v>
      </c>
      <c r="AW14" s="11">
        <v>3814</v>
      </c>
      <c r="AX14" s="11">
        <v>3755</v>
      </c>
      <c r="AY14" s="11">
        <f t="shared" si="16"/>
        <v>447</v>
      </c>
      <c r="AZ14" s="11">
        <v>4202</v>
      </c>
      <c r="BA14" s="11"/>
      <c r="BB14" s="11">
        <f t="shared" si="17"/>
        <v>8</v>
      </c>
      <c r="BC14" s="11">
        <v>8</v>
      </c>
      <c r="BD14" s="11"/>
      <c r="BE14" s="11">
        <f t="shared" si="18"/>
        <v>0</v>
      </c>
      <c r="BF14" s="11"/>
      <c r="BG14" s="11">
        <v>98528</v>
      </c>
      <c r="BH14" s="11">
        <f t="shared" si="19"/>
        <v>191085</v>
      </c>
      <c r="BI14" s="11">
        <v>289613</v>
      </c>
      <c r="BJ14" s="11">
        <v>3</v>
      </c>
      <c r="BK14" s="11">
        <f t="shared" si="20"/>
        <v>4</v>
      </c>
      <c r="BL14" s="11">
        <v>7</v>
      </c>
      <c r="BM14" s="11">
        <v>121370</v>
      </c>
      <c r="BN14" s="11">
        <f t="shared" si="21"/>
        <v>19630</v>
      </c>
      <c r="BO14" s="11">
        <v>141000</v>
      </c>
      <c r="BP14" s="11">
        <v>60327</v>
      </c>
      <c r="BQ14" s="11">
        <f t="shared" si="22"/>
        <v>11099</v>
      </c>
      <c r="BR14" s="11">
        <v>71426</v>
      </c>
      <c r="BS14" s="11">
        <v>244</v>
      </c>
      <c r="BT14" s="11">
        <f t="shared" si="23"/>
        <v>113</v>
      </c>
      <c r="BU14" s="11">
        <v>357</v>
      </c>
      <c r="BV14" s="11">
        <v>47610</v>
      </c>
      <c r="BW14" s="11">
        <f t="shared" si="24"/>
        <v>13940</v>
      </c>
      <c r="BX14" s="11">
        <v>61550</v>
      </c>
      <c r="BY14" s="11"/>
      <c r="BZ14" s="11">
        <f t="shared" si="25"/>
        <v>0</v>
      </c>
      <c r="CA14" s="11"/>
      <c r="CB14" s="11">
        <v>15338</v>
      </c>
      <c r="CC14" s="11">
        <f t="shared" si="26"/>
        <v>2587</v>
      </c>
      <c r="CD14" s="11">
        <v>17925</v>
      </c>
      <c r="CE14" s="11">
        <f>2728+2341</f>
        <v>5069</v>
      </c>
      <c r="CF14" s="11">
        <f t="shared" si="27"/>
        <v>2928</v>
      </c>
      <c r="CG14" s="11">
        <f>3804+4193</f>
        <v>7997</v>
      </c>
      <c r="CH14" s="11">
        <v>32906</v>
      </c>
      <c r="CI14" s="11">
        <f t="shared" si="28"/>
        <v>2809</v>
      </c>
      <c r="CJ14" s="11">
        <v>35715</v>
      </c>
      <c r="CK14" s="11"/>
      <c r="CL14" s="11">
        <f t="shared" si="29"/>
        <v>897</v>
      </c>
      <c r="CM14" s="11">
        <v>897</v>
      </c>
      <c r="CN14" s="11">
        <v>12439</v>
      </c>
      <c r="CO14" s="11">
        <f t="shared" si="30"/>
        <v>3319</v>
      </c>
      <c r="CP14" s="11">
        <v>15758</v>
      </c>
      <c r="CQ14" s="39">
        <v>124050</v>
      </c>
      <c r="CR14" s="11">
        <f t="shared" si="31"/>
        <v>50266</v>
      </c>
      <c r="CS14" s="39">
        <v>174316</v>
      </c>
      <c r="CT14" s="11">
        <v>5576</v>
      </c>
      <c r="CU14" s="11">
        <f t="shared" si="32"/>
        <v>336</v>
      </c>
      <c r="CV14" s="11">
        <v>5912</v>
      </c>
    </row>
  </sheetData>
  <mergeCells count="33">
    <mergeCell ref="Z3:AB3"/>
    <mergeCell ref="B3:D3"/>
    <mergeCell ref="E3:G3"/>
    <mergeCell ref="H3:J3"/>
    <mergeCell ref="K3:M3"/>
    <mergeCell ref="Q3:S3"/>
    <mergeCell ref="T3:V3"/>
    <mergeCell ref="W3:Y3"/>
    <mergeCell ref="N3:P3"/>
    <mergeCell ref="BS3:BU3"/>
    <mergeCell ref="AC3:AE3"/>
    <mergeCell ref="AF3:AH3"/>
    <mergeCell ref="AL3:AN3"/>
    <mergeCell ref="AO3:AQ3"/>
    <mergeCell ref="AR3:AT3"/>
    <mergeCell ref="AU3:AW3"/>
    <mergeCell ref="AX3:AZ3"/>
    <mergeCell ref="BD3:BF3"/>
    <mergeCell ref="BG3:BI3"/>
    <mergeCell ref="BM3:BO3"/>
    <mergeCell ref="BP3:BR3"/>
    <mergeCell ref="AI3:AK3"/>
    <mergeCell ref="BA3:BC3"/>
    <mergeCell ref="BJ3:BL3"/>
    <mergeCell ref="CN3:CP3"/>
    <mergeCell ref="CQ3:CS3"/>
    <mergeCell ref="CT3:CV3"/>
    <mergeCell ref="BV3:BX3"/>
    <mergeCell ref="BY3:CA3"/>
    <mergeCell ref="CB3:CD3"/>
    <mergeCell ref="CE3:CG3"/>
    <mergeCell ref="CH3:CJ3"/>
    <mergeCell ref="CK3:CM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RowHeight="15" x14ac:dyDescent="0.25"/>
  <cols>
    <col min="1" max="1" width="39.28515625" customWidth="1"/>
    <col min="2" max="34" width="16" customWidth="1"/>
  </cols>
  <sheetData>
    <row r="1" spans="1:34" ht="18.75" x14ac:dyDescent="0.3">
      <c r="A1" s="24" t="s">
        <v>137</v>
      </c>
    </row>
    <row r="2" spans="1:34" x14ac:dyDescent="0.25">
      <c r="A2" s="1" t="s">
        <v>0</v>
      </c>
      <c r="B2" s="73" t="s">
        <v>1</v>
      </c>
      <c r="C2" s="73" t="s">
        <v>2</v>
      </c>
      <c r="D2" s="73" t="s">
        <v>3</v>
      </c>
      <c r="E2" s="73" t="s">
        <v>4</v>
      </c>
      <c r="F2" s="73" t="s">
        <v>5</v>
      </c>
      <c r="G2" s="73" t="s">
        <v>6</v>
      </c>
      <c r="H2" s="73" t="s">
        <v>7</v>
      </c>
      <c r="I2" s="73" t="s">
        <v>8</v>
      </c>
      <c r="J2" s="73" t="s">
        <v>9</v>
      </c>
      <c r="K2" s="73" t="s">
        <v>10</v>
      </c>
      <c r="L2" s="73" t="s">
        <v>11</v>
      </c>
      <c r="M2" s="73" t="s">
        <v>293</v>
      </c>
      <c r="N2" s="73" t="s">
        <v>12</v>
      </c>
      <c r="O2" s="73" t="s">
        <v>13</v>
      </c>
      <c r="P2" s="73" t="s">
        <v>14</v>
      </c>
      <c r="Q2" s="73" t="s">
        <v>15</v>
      </c>
      <c r="R2" s="73" t="s">
        <v>16</v>
      </c>
      <c r="S2" s="73" t="s">
        <v>295</v>
      </c>
      <c r="T2" s="73" t="s">
        <v>17</v>
      </c>
      <c r="U2" s="73" t="s">
        <v>18</v>
      </c>
      <c r="V2" s="97" t="s">
        <v>294</v>
      </c>
      <c r="W2" s="97" t="s">
        <v>19</v>
      </c>
      <c r="X2" s="73" t="s">
        <v>20</v>
      </c>
      <c r="Y2" s="73" t="s">
        <v>21</v>
      </c>
      <c r="Z2" s="73" t="s">
        <v>22</v>
      </c>
      <c r="AA2" s="73" t="s">
        <v>23</v>
      </c>
      <c r="AB2" s="73" t="s">
        <v>24</v>
      </c>
      <c r="AC2" s="73" t="s">
        <v>25</v>
      </c>
      <c r="AD2" s="73" t="s">
        <v>26</v>
      </c>
      <c r="AE2" s="73" t="s">
        <v>27</v>
      </c>
      <c r="AF2" s="73" t="s">
        <v>28</v>
      </c>
      <c r="AG2" s="72" t="s">
        <v>29</v>
      </c>
      <c r="AH2" s="73" t="s">
        <v>30</v>
      </c>
    </row>
    <row r="3" spans="1:34" x14ac:dyDescent="0.25">
      <c r="A3" s="16" t="s">
        <v>138</v>
      </c>
      <c r="B3" s="49">
        <v>-0.16020000000000001</v>
      </c>
      <c r="C3" s="48">
        <v>-0.25</v>
      </c>
      <c r="D3" s="49">
        <v>2.3746</v>
      </c>
      <c r="E3" s="49">
        <v>-0.19700000000000001</v>
      </c>
      <c r="F3" s="48">
        <v>-0.12</v>
      </c>
      <c r="G3" s="49">
        <v>-0.219</v>
      </c>
      <c r="H3" s="48">
        <v>1.01</v>
      </c>
      <c r="I3" s="49">
        <v>-0.34110000000000001</v>
      </c>
      <c r="J3" s="80">
        <v>0.15</v>
      </c>
      <c r="K3" s="39">
        <v>7.0000000000000007E-2</v>
      </c>
      <c r="L3" s="49">
        <v>0.13389999999999999</v>
      </c>
      <c r="M3" s="48">
        <v>-0.08</v>
      </c>
      <c r="N3" s="48">
        <v>-0.05</v>
      </c>
      <c r="O3" s="79">
        <v>-8.2600000000000007E-2</v>
      </c>
      <c r="P3" s="48">
        <v>0.19</v>
      </c>
      <c r="Q3" s="48">
        <v>-0.14000000000000001</v>
      </c>
      <c r="R3" s="49">
        <v>-0.19500000000000001</v>
      </c>
      <c r="S3" s="80">
        <v>0.14000000000000001</v>
      </c>
      <c r="T3" s="48">
        <v>0.22</v>
      </c>
      <c r="U3" s="49">
        <v>-0.14411433818023742</v>
      </c>
      <c r="V3" s="49">
        <v>-0.75</v>
      </c>
      <c r="W3" s="39">
        <v>6.36</v>
      </c>
      <c r="X3" s="39">
        <v>-17.829999999999998</v>
      </c>
      <c r="Y3" s="49">
        <v>0.45169999999999999</v>
      </c>
      <c r="Z3" s="48">
        <v>-0.06</v>
      </c>
      <c r="AA3" s="39">
        <v>-0.16</v>
      </c>
      <c r="AB3" s="49">
        <v>-0.186</v>
      </c>
      <c r="AC3" s="49">
        <v>-5.6500000000000002E-2</v>
      </c>
      <c r="AD3" s="49">
        <v>-0.16109999999999999</v>
      </c>
      <c r="AE3" s="48">
        <v>0.33</v>
      </c>
      <c r="AF3" s="48">
        <v>-0.17</v>
      </c>
      <c r="AG3" s="49">
        <v>7.4099999999999999E-2</v>
      </c>
      <c r="AH3" s="49">
        <v>0.16619999999999999</v>
      </c>
    </row>
    <row r="4" spans="1:34" ht="15" customHeight="1" x14ac:dyDescent="0.25">
      <c r="A4" s="16" t="s">
        <v>139</v>
      </c>
      <c r="B4" s="39"/>
      <c r="C4" s="48">
        <v>0.86</v>
      </c>
      <c r="D4" s="39"/>
      <c r="E4" s="49">
        <v>0.36099999999999999</v>
      </c>
      <c r="F4" s="39">
        <v>0.68</v>
      </c>
      <c r="G4" s="39">
        <v>0.51</v>
      </c>
      <c r="H4" s="39">
        <v>0.36</v>
      </c>
      <c r="I4" s="39"/>
      <c r="J4" s="50"/>
      <c r="K4" s="39">
        <v>0.35</v>
      </c>
      <c r="L4" s="39">
        <v>0.6</v>
      </c>
      <c r="M4" s="39"/>
      <c r="N4" s="39">
        <v>0.51</v>
      </c>
      <c r="O4" s="39"/>
      <c r="P4" s="39"/>
      <c r="Q4" s="39">
        <v>0.42</v>
      </c>
      <c r="R4" s="39">
        <v>0.51</v>
      </c>
      <c r="S4" s="81"/>
      <c r="T4" s="39"/>
      <c r="U4" s="49"/>
      <c r="V4" s="39"/>
      <c r="W4" s="39"/>
      <c r="X4" s="39"/>
      <c r="Y4" s="39">
        <v>0.27</v>
      </c>
      <c r="Z4" s="39"/>
      <c r="AA4" s="39"/>
      <c r="AB4" s="39">
        <v>0.46</v>
      </c>
      <c r="AC4" s="39"/>
      <c r="AD4" s="39"/>
      <c r="AE4" s="48">
        <v>0.75</v>
      </c>
      <c r="AF4" s="48"/>
      <c r="AG4" s="49">
        <v>1.9260999999999999</v>
      </c>
      <c r="AH4" s="49"/>
    </row>
    <row r="5" spans="1:34" ht="15" customHeight="1" x14ac:dyDescent="0.25">
      <c r="A5" s="16" t="s">
        <v>140</v>
      </c>
      <c r="B5" s="39">
        <v>0.28000000000000003</v>
      </c>
      <c r="C5" s="39"/>
      <c r="D5" s="39">
        <v>0.08</v>
      </c>
      <c r="E5" s="39"/>
      <c r="F5" s="39"/>
      <c r="G5" s="39"/>
      <c r="H5" s="39"/>
      <c r="I5" s="39">
        <v>0.03</v>
      </c>
      <c r="J5" s="39">
        <v>0.67</v>
      </c>
      <c r="K5" s="39"/>
      <c r="L5" s="49"/>
      <c r="M5" s="39">
        <v>0.89</v>
      </c>
      <c r="N5" s="39"/>
      <c r="O5" s="39"/>
      <c r="P5" s="39">
        <v>0.55000000000000004</v>
      </c>
      <c r="Q5" s="39"/>
      <c r="R5" s="39"/>
      <c r="S5" s="80">
        <v>0.77</v>
      </c>
      <c r="T5" s="39">
        <v>0.86</v>
      </c>
      <c r="U5" s="71">
        <v>-1.5849779565037236</v>
      </c>
      <c r="V5" s="26">
        <v>0.03</v>
      </c>
      <c r="W5">
        <v>0.49</v>
      </c>
      <c r="X5" s="39">
        <v>7.22</v>
      </c>
      <c r="Y5" s="39"/>
      <c r="Z5" s="39">
        <v>0.97</v>
      </c>
      <c r="AA5" s="39">
        <v>0.52</v>
      </c>
      <c r="AB5" s="39"/>
      <c r="AC5" s="39">
        <v>0.51</v>
      </c>
      <c r="AD5" s="49">
        <v>0.2455</v>
      </c>
      <c r="AE5" s="49"/>
      <c r="AF5" s="39">
        <v>0.66</v>
      </c>
      <c r="AG5" s="39"/>
      <c r="AH5" s="39">
        <v>0.4</v>
      </c>
    </row>
    <row r="6" spans="1:34" x14ac:dyDescent="0.25">
      <c r="A6" s="16" t="s">
        <v>141</v>
      </c>
      <c r="B6" s="48">
        <v>7.0000000000000007E-2</v>
      </c>
      <c r="C6" s="39"/>
      <c r="D6" s="49">
        <v>3.5700000000000003E-2</v>
      </c>
      <c r="E6" s="48"/>
      <c r="F6" s="39"/>
      <c r="G6" s="39"/>
      <c r="H6" s="39"/>
      <c r="I6" s="49">
        <v>0.19209999999999999</v>
      </c>
      <c r="J6" s="48">
        <v>0.19</v>
      </c>
      <c r="K6" s="39"/>
      <c r="L6" s="39"/>
      <c r="M6" s="48">
        <v>-0.16</v>
      </c>
      <c r="N6" s="39"/>
      <c r="O6" s="39"/>
      <c r="P6" s="48">
        <v>0.22</v>
      </c>
      <c r="Q6" s="39">
        <v>0.75</v>
      </c>
      <c r="R6" s="48"/>
      <c r="S6" s="81"/>
      <c r="T6" s="48">
        <v>0.91</v>
      </c>
      <c r="U6" s="49">
        <v>-10.527764814635763</v>
      </c>
      <c r="V6" s="49">
        <v>1.62</v>
      </c>
      <c r="W6" s="39"/>
      <c r="X6" s="39">
        <v>-85.43</v>
      </c>
      <c r="Y6" s="39"/>
      <c r="Z6" s="48">
        <v>0.04</v>
      </c>
      <c r="AA6" s="39">
        <v>0.92</v>
      </c>
      <c r="AB6" s="39"/>
      <c r="AC6" s="49">
        <v>0.25109999999999999</v>
      </c>
      <c r="AD6" s="49">
        <v>6.4899999999999999E-2</v>
      </c>
      <c r="AE6" s="49"/>
      <c r="AF6" s="48">
        <v>0.08</v>
      </c>
      <c r="AG6" s="48"/>
      <c r="AH6" s="49">
        <v>0.16470000000000001</v>
      </c>
    </row>
    <row r="7" spans="1:34" x14ac:dyDescent="0.25">
      <c r="A7" s="16" t="s">
        <v>142</v>
      </c>
      <c r="B7" s="39"/>
      <c r="C7" s="48">
        <v>0.04</v>
      </c>
      <c r="D7" s="39"/>
      <c r="E7" s="49">
        <v>0.20100000000000001</v>
      </c>
      <c r="F7" s="48">
        <v>0.13</v>
      </c>
      <c r="G7" s="49">
        <v>0.15210000000000001</v>
      </c>
      <c r="H7" s="48">
        <v>-0.19</v>
      </c>
      <c r="I7" s="48"/>
      <c r="J7" s="39"/>
      <c r="K7" s="39">
        <v>0.03</v>
      </c>
      <c r="L7" s="49">
        <v>0.25309999999999999</v>
      </c>
      <c r="M7" s="39"/>
      <c r="N7" s="48">
        <v>0.06</v>
      </c>
      <c r="O7" s="49"/>
      <c r="P7" s="39"/>
      <c r="Q7" s="39"/>
      <c r="R7" s="49">
        <v>0.18</v>
      </c>
      <c r="S7" s="82">
        <v>0.43</v>
      </c>
      <c r="T7" s="49"/>
      <c r="U7" s="49"/>
      <c r="V7" s="39"/>
      <c r="W7" s="39">
        <v>-0.19</v>
      </c>
      <c r="X7" s="39"/>
      <c r="Y7" s="49">
        <v>-0.32300000000000001</v>
      </c>
      <c r="Z7" s="39"/>
      <c r="AA7" s="39"/>
      <c r="AB7" s="49">
        <v>0.1</v>
      </c>
      <c r="AC7" s="49"/>
      <c r="AD7" s="49"/>
      <c r="AE7" s="48">
        <v>0.45</v>
      </c>
      <c r="AF7" s="48"/>
      <c r="AG7" s="49">
        <v>-0.22040000000000001</v>
      </c>
      <c r="AH7" s="49"/>
    </row>
    <row r="8" spans="1:34" x14ac:dyDescent="0.25">
      <c r="A8" s="16" t="s">
        <v>143</v>
      </c>
      <c r="B8" s="49">
        <v>0.50509999999999999</v>
      </c>
      <c r="C8" s="48">
        <v>0.75</v>
      </c>
      <c r="D8" s="49">
        <v>0.2586</v>
      </c>
      <c r="E8" s="49">
        <v>0.79400000000000004</v>
      </c>
      <c r="F8" s="48">
        <v>0.66</v>
      </c>
      <c r="G8" s="49">
        <v>0.73709999999999998</v>
      </c>
      <c r="H8" s="48">
        <v>0.75</v>
      </c>
      <c r="I8" s="49">
        <v>0.7016</v>
      </c>
      <c r="J8" s="48">
        <v>0.59</v>
      </c>
      <c r="K8" s="49">
        <v>0.63319999999999999</v>
      </c>
      <c r="L8" s="49">
        <v>0.50780000000000003</v>
      </c>
      <c r="M8" s="48">
        <v>0.71</v>
      </c>
      <c r="N8" s="48">
        <v>0.65</v>
      </c>
      <c r="O8" s="49">
        <v>0.58540000000000003</v>
      </c>
      <c r="P8" s="48">
        <v>0.87</v>
      </c>
      <c r="Q8" s="48">
        <v>0.7</v>
      </c>
      <c r="R8" s="49">
        <v>0.57299999999999995</v>
      </c>
      <c r="S8" s="82">
        <v>0.95</v>
      </c>
      <c r="T8" s="48">
        <v>0.77</v>
      </c>
      <c r="U8" s="49">
        <v>0.85749690011195179</v>
      </c>
      <c r="V8" s="49">
        <v>0.86</v>
      </c>
      <c r="W8" s="39">
        <v>81.069999999999993</v>
      </c>
      <c r="X8" s="39">
        <v>78.8</v>
      </c>
      <c r="Y8" s="49">
        <v>0.75019999999999998</v>
      </c>
      <c r="Z8" s="48">
        <v>0.52</v>
      </c>
      <c r="AA8" s="39">
        <v>0.75</v>
      </c>
      <c r="AB8" s="49">
        <v>0.64800000000000002</v>
      </c>
      <c r="AC8" s="49">
        <v>0.56020000000000003</v>
      </c>
      <c r="AD8" s="49">
        <v>0.9284</v>
      </c>
      <c r="AE8" s="48">
        <v>0.75</v>
      </c>
      <c r="AF8" s="48">
        <v>0.59</v>
      </c>
      <c r="AG8" s="49">
        <v>0.78290000000000004</v>
      </c>
      <c r="AH8" s="49">
        <v>0.68340000000000001</v>
      </c>
    </row>
    <row r="9" spans="1:34" x14ac:dyDescent="0.25">
      <c r="A9" s="16" t="s">
        <v>144</v>
      </c>
      <c r="B9" s="49">
        <v>-8.72E-2</v>
      </c>
      <c r="C9" s="48">
        <v>0.06</v>
      </c>
      <c r="D9" s="49">
        <v>5.5E-2</v>
      </c>
      <c r="E9" s="49">
        <v>-7.0000000000000001E-3</v>
      </c>
      <c r="F9" s="48">
        <v>7.0000000000000007E-2</v>
      </c>
      <c r="G9" s="49">
        <v>1.34E-2</v>
      </c>
      <c r="H9" s="48">
        <v>0.09</v>
      </c>
      <c r="I9" s="49">
        <v>-4.2000000000000003E-2</v>
      </c>
      <c r="J9" s="48">
        <v>0.05</v>
      </c>
      <c r="K9" s="49">
        <v>1.8499999999999999E-2</v>
      </c>
      <c r="L9" s="49">
        <v>-1.1599999999999999E-2</v>
      </c>
      <c r="M9" s="48">
        <v>0.06</v>
      </c>
      <c r="N9" s="48">
        <v>0.05</v>
      </c>
      <c r="O9" s="49">
        <v>4.99E-2</v>
      </c>
      <c r="P9" s="48">
        <v>7.0000000000000007E-2</v>
      </c>
      <c r="Q9" s="48">
        <v>0.1</v>
      </c>
      <c r="R9" s="49">
        <v>-7.2999999999999995E-2</v>
      </c>
      <c r="S9" s="82">
        <v>0.11</v>
      </c>
      <c r="T9" s="48">
        <v>0.03</v>
      </c>
      <c r="U9" s="49">
        <v>7.2708692388150559E-2</v>
      </c>
      <c r="V9" s="49">
        <v>0.06</v>
      </c>
      <c r="W9" s="39">
        <v>9.2100000000000009</v>
      </c>
      <c r="X9" s="39">
        <v>6.57</v>
      </c>
      <c r="Y9" s="49">
        <v>0.13519999999999999</v>
      </c>
      <c r="Z9" s="48">
        <v>0.01</v>
      </c>
      <c r="AA9" s="39">
        <v>-0.01</v>
      </c>
      <c r="AB9" s="49">
        <v>9.6000000000000002E-2</v>
      </c>
      <c r="AC9" s="49">
        <v>-2.0999999999999999E-3</v>
      </c>
      <c r="AD9" s="49">
        <v>5.3900000000000003E-2</v>
      </c>
      <c r="AE9" s="48">
        <v>0.1</v>
      </c>
      <c r="AF9" s="48">
        <v>0.03</v>
      </c>
      <c r="AG9" s="49">
        <v>6.13E-2</v>
      </c>
      <c r="AH9" s="49">
        <v>7.2400000000000006E-2</v>
      </c>
    </row>
    <row r="10" spans="1:34" ht="30" x14ac:dyDescent="0.25">
      <c r="A10" s="16" t="s">
        <v>145</v>
      </c>
      <c r="B10" s="49">
        <v>0.53859999999999997</v>
      </c>
      <c r="C10" s="48">
        <v>0.7</v>
      </c>
      <c r="D10" s="49">
        <v>0.19</v>
      </c>
      <c r="E10" s="49">
        <v>0.26</v>
      </c>
      <c r="F10" s="48">
        <v>0.37</v>
      </c>
      <c r="G10" s="49">
        <v>0.34300000000000003</v>
      </c>
      <c r="H10" s="48">
        <v>0.81</v>
      </c>
      <c r="I10" s="49">
        <v>0.2676</v>
      </c>
      <c r="J10" s="48">
        <v>0.32</v>
      </c>
      <c r="K10" s="49">
        <v>0.40129999999999999</v>
      </c>
      <c r="L10" s="49">
        <v>0.28220000000000001</v>
      </c>
      <c r="M10" s="48">
        <v>0.37</v>
      </c>
      <c r="N10" s="48">
        <v>0.25</v>
      </c>
      <c r="O10" s="49">
        <v>0.17460000000000001</v>
      </c>
      <c r="P10" s="48">
        <v>0.46</v>
      </c>
      <c r="Q10" s="48">
        <v>0.43</v>
      </c>
      <c r="R10" s="49">
        <v>0.373</v>
      </c>
      <c r="S10" s="82">
        <v>0.56000000000000005</v>
      </c>
      <c r="T10" s="48">
        <v>0.47</v>
      </c>
      <c r="U10" s="49">
        <v>0.35259679845707015</v>
      </c>
      <c r="V10" s="49">
        <v>1.98</v>
      </c>
      <c r="W10" s="39">
        <v>31.36</v>
      </c>
      <c r="X10" s="39">
        <v>39.72</v>
      </c>
      <c r="Y10" s="49">
        <v>0.37640000000000001</v>
      </c>
      <c r="Z10" s="48">
        <v>0.25</v>
      </c>
      <c r="AA10" s="39">
        <v>0.43</v>
      </c>
      <c r="AB10" s="49">
        <v>0.28999999999999998</v>
      </c>
      <c r="AC10" s="49">
        <v>0.23719999999999999</v>
      </c>
      <c r="AD10" s="49">
        <v>0.2369</v>
      </c>
      <c r="AE10" s="48">
        <v>0.31</v>
      </c>
      <c r="AF10" s="48">
        <v>0.28000000000000003</v>
      </c>
      <c r="AG10" s="49">
        <v>0.2697</v>
      </c>
      <c r="AH10" s="49">
        <v>0.19389999999999999</v>
      </c>
    </row>
    <row r="11" spans="1:34" ht="30" x14ac:dyDescent="0.25">
      <c r="A11" s="16" t="s">
        <v>146</v>
      </c>
      <c r="B11" s="49">
        <v>1.0663</v>
      </c>
      <c r="C11" s="39"/>
      <c r="D11" s="49">
        <v>0.73480000000000001</v>
      </c>
      <c r="E11" s="49">
        <v>0.32500000000000001</v>
      </c>
      <c r="F11" s="48">
        <v>0.54</v>
      </c>
      <c r="G11" s="48"/>
      <c r="H11" s="48">
        <v>0.98</v>
      </c>
      <c r="I11" s="49">
        <v>0.38150000000000001</v>
      </c>
      <c r="J11" s="48">
        <v>0.51</v>
      </c>
      <c r="K11" s="49">
        <v>0.42159999999999997</v>
      </c>
      <c r="L11" s="49">
        <v>0.5302</v>
      </c>
      <c r="M11" s="48">
        <v>0.52</v>
      </c>
      <c r="N11" s="48">
        <v>0.38</v>
      </c>
      <c r="O11" s="49">
        <v>0.29139999999999999</v>
      </c>
      <c r="P11" s="48">
        <v>0.52</v>
      </c>
      <c r="Q11" s="48">
        <v>0.61</v>
      </c>
      <c r="R11" s="49">
        <v>0.57999999999999996</v>
      </c>
      <c r="S11" s="82"/>
      <c r="T11" s="48">
        <v>0.61</v>
      </c>
      <c r="U11" s="49">
        <v>0.3981577568463126</v>
      </c>
      <c r="V11" s="49">
        <v>2.2799999999999998</v>
      </c>
      <c r="W11" s="39">
        <v>36.71</v>
      </c>
      <c r="X11" s="39">
        <v>49.49</v>
      </c>
      <c r="Y11" s="49">
        <v>0.45550000000000002</v>
      </c>
      <c r="Z11" s="48">
        <v>0.47</v>
      </c>
      <c r="AA11" s="39">
        <v>0.56000000000000005</v>
      </c>
      <c r="AB11" s="49">
        <v>0.42899999999999999</v>
      </c>
      <c r="AC11" s="49">
        <v>0.41120000000000001</v>
      </c>
      <c r="AD11" s="49">
        <v>0.25409999999999999</v>
      </c>
      <c r="AE11" s="49"/>
      <c r="AF11" s="48">
        <v>0.45</v>
      </c>
      <c r="AG11" s="48"/>
      <c r="AH11" s="49">
        <v>0.2833</v>
      </c>
    </row>
    <row r="12" spans="1:34" ht="15" customHeight="1" x14ac:dyDescent="0.25">
      <c r="A12" s="16" t="s">
        <v>147</v>
      </c>
      <c r="B12" s="49">
        <v>0.85050000000000003</v>
      </c>
      <c r="C12" s="39"/>
      <c r="D12" s="49">
        <v>0.55110000000000003</v>
      </c>
      <c r="E12" s="49">
        <v>0.68100000000000005</v>
      </c>
      <c r="F12" s="48">
        <v>0.67</v>
      </c>
      <c r="G12" s="48"/>
      <c r="H12" s="48">
        <v>1.01</v>
      </c>
      <c r="I12" s="49">
        <v>2.4302999999999999</v>
      </c>
      <c r="J12" s="48">
        <v>0.65</v>
      </c>
      <c r="K12" s="49">
        <v>0.68540000000000001</v>
      </c>
      <c r="L12" s="49">
        <v>0.753</v>
      </c>
      <c r="M12" s="48">
        <v>1.03</v>
      </c>
      <c r="N12" s="48">
        <v>0.7</v>
      </c>
      <c r="O12" s="49">
        <v>0.78390000000000004</v>
      </c>
      <c r="P12" s="48">
        <v>0.56000000000000005</v>
      </c>
      <c r="Q12" s="48">
        <v>0.43</v>
      </c>
      <c r="R12" s="49">
        <v>0.83799999999999997</v>
      </c>
      <c r="S12" s="82"/>
      <c r="T12" s="48">
        <v>0.51</v>
      </c>
      <c r="U12" s="49">
        <v>0.65588728386896056</v>
      </c>
      <c r="V12" s="49">
        <v>0.7</v>
      </c>
      <c r="W12" s="39">
        <v>66.28</v>
      </c>
      <c r="X12" s="39">
        <v>65.62</v>
      </c>
      <c r="Y12" s="49">
        <v>0.92859999999999998</v>
      </c>
      <c r="Z12" s="48">
        <v>0.73</v>
      </c>
      <c r="AA12" s="39">
        <v>0.54</v>
      </c>
      <c r="AB12" s="49">
        <v>0.66800000000000004</v>
      </c>
      <c r="AC12" s="49">
        <v>0.76160000000000005</v>
      </c>
      <c r="AD12" s="49">
        <v>0.66049999999999998</v>
      </c>
      <c r="AE12" s="48">
        <v>0.51</v>
      </c>
      <c r="AF12" s="48">
        <v>0.67</v>
      </c>
      <c r="AG12" s="48"/>
      <c r="AH12" s="49">
        <v>0.78</v>
      </c>
    </row>
    <row r="13" spans="1:34" ht="15" customHeight="1" x14ac:dyDescent="0.25">
      <c r="A13" s="16" t="s">
        <v>148</v>
      </c>
      <c r="B13" s="49">
        <v>1.7974000000000001</v>
      </c>
      <c r="C13" s="48">
        <v>1.32</v>
      </c>
      <c r="D13" s="49">
        <v>1.1684000000000001</v>
      </c>
      <c r="E13" s="49">
        <v>0.90400000000000003</v>
      </c>
      <c r="F13" s="48">
        <v>1.1499999999999999</v>
      </c>
      <c r="G13" s="49">
        <v>1.0155000000000001</v>
      </c>
      <c r="H13" s="48">
        <v>1.96</v>
      </c>
      <c r="I13" s="49">
        <v>2.7644000000000002</v>
      </c>
      <c r="J13" s="48">
        <v>1.1100000000000001</v>
      </c>
      <c r="K13" s="49">
        <v>1.0704</v>
      </c>
      <c r="L13" s="49">
        <v>1.0956999999999999</v>
      </c>
      <c r="M13" s="48">
        <v>1.41</v>
      </c>
      <c r="N13" s="48">
        <v>1</v>
      </c>
      <c r="O13" s="49">
        <v>0.99050000000000005</v>
      </c>
      <c r="P13" s="48">
        <v>1.05</v>
      </c>
      <c r="Q13" s="48">
        <v>1</v>
      </c>
      <c r="R13" s="49">
        <v>1.2450000000000001</v>
      </c>
      <c r="S13" s="82">
        <v>0.92</v>
      </c>
      <c r="T13" s="48">
        <v>1</v>
      </c>
      <c r="U13" s="49">
        <v>1.0429019781794326</v>
      </c>
      <c r="V13" s="49">
        <v>2.99</v>
      </c>
      <c r="W13" s="39">
        <v>102.14</v>
      </c>
      <c r="X13" s="39">
        <v>113.16</v>
      </c>
      <c r="Y13" s="49">
        <v>1.3712</v>
      </c>
      <c r="Z13" s="48">
        <v>1.1000000000000001</v>
      </c>
      <c r="AA13" s="39">
        <v>0.92</v>
      </c>
      <c r="AB13" s="49">
        <v>1.024</v>
      </c>
      <c r="AC13" s="49">
        <v>1.034</v>
      </c>
      <c r="AD13" s="49">
        <v>0.90910000000000002</v>
      </c>
      <c r="AE13" s="48">
        <v>0.84</v>
      </c>
      <c r="AF13" s="48">
        <v>0.99</v>
      </c>
      <c r="AG13" s="49">
        <v>0.9778</v>
      </c>
      <c r="AH13" s="49">
        <v>1.0129999999999999</v>
      </c>
    </row>
    <row r="14" spans="1:34" ht="15" customHeight="1" x14ac:dyDescent="0.25">
      <c r="A14" s="16" t="s">
        <v>149</v>
      </c>
      <c r="B14" s="39">
        <v>5.58</v>
      </c>
      <c r="C14" s="48">
        <v>2.71</v>
      </c>
      <c r="D14" s="39">
        <v>40.24</v>
      </c>
      <c r="E14" s="39">
        <v>7</v>
      </c>
      <c r="F14" s="39">
        <v>10.15</v>
      </c>
      <c r="G14" s="39">
        <v>12.21</v>
      </c>
      <c r="H14" s="39">
        <v>6.35</v>
      </c>
      <c r="I14" s="71">
        <v>61.93</v>
      </c>
      <c r="J14" s="39">
        <v>8.23</v>
      </c>
      <c r="K14" s="39">
        <v>5.22</v>
      </c>
      <c r="L14" s="39">
        <v>9.69</v>
      </c>
      <c r="M14" s="39">
        <v>4.16</v>
      </c>
      <c r="N14" s="39">
        <v>10.72</v>
      </c>
      <c r="O14" s="39"/>
      <c r="P14" s="39">
        <v>6.13</v>
      </c>
      <c r="Q14" s="39">
        <v>5.22</v>
      </c>
      <c r="R14" s="39">
        <v>12.44</v>
      </c>
      <c r="S14" s="82">
        <v>2.61</v>
      </c>
      <c r="T14" s="39">
        <v>2.85</v>
      </c>
      <c r="U14" s="71">
        <v>9.561647980021915</v>
      </c>
      <c r="V14" s="26">
        <v>18.39</v>
      </c>
      <c r="W14" s="39">
        <v>5.87</v>
      </c>
      <c r="X14" s="39">
        <v>8.56</v>
      </c>
      <c r="Y14" s="39">
        <v>9.73</v>
      </c>
      <c r="Z14" s="39">
        <v>8.51</v>
      </c>
      <c r="AA14" s="39">
        <v>3.05</v>
      </c>
      <c r="AB14" s="39">
        <v>11.86</v>
      </c>
      <c r="AC14" s="39">
        <v>7.75</v>
      </c>
      <c r="AD14" s="49">
        <v>18.0045</v>
      </c>
      <c r="AE14" s="39">
        <v>2.83</v>
      </c>
      <c r="AF14" s="39">
        <v>7.62</v>
      </c>
      <c r="AG14" s="49">
        <v>9.2331000000000003</v>
      </c>
      <c r="AH14" s="49">
        <v>7.49</v>
      </c>
    </row>
    <row r="15" spans="1:34" x14ac:dyDescent="0.25">
      <c r="A15" s="16" t="s">
        <v>150</v>
      </c>
      <c r="B15" s="39">
        <v>-0.8</v>
      </c>
      <c r="C15" s="48">
        <v>-0.49</v>
      </c>
      <c r="D15" s="39">
        <v>-0.55000000000000004</v>
      </c>
      <c r="E15" s="39">
        <v>0.1</v>
      </c>
      <c r="F15" s="39">
        <v>-7.0000000000000007E-2</v>
      </c>
      <c r="G15" s="39">
        <v>0.06</v>
      </c>
      <c r="H15" s="39">
        <v>-0.83</v>
      </c>
      <c r="I15" s="49">
        <v>-1.2319</v>
      </c>
      <c r="J15" s="39">
        <v>-0.04</v>
      </c>
      <c r="K15" s="39">
        <v>-7.0000000000000007E-2</v>
      </c>
      <c r="L15" s="39">
        <v>-0.03</v>
      </c>
      <c r="M15" s="39">
        <v>-0.56000000000000005</v>
      </c>
      <c r="N15" s="39">
        <v>0.02</v>
      </c>
      <c r="O15" s="49">
        <v>1.04E-2</v>
      </c>
      <c r="P15" s="39">
        <v>-0.05</v>
      </c>
      <c r="Q15" s="39">
        <v>0.15</v>
      </c>
      <c r="R15" s="39">
        <v>-0.14000000000000001</v>
      </c>
      <c r="S15" s="82">
        <v>0.04</v>
      </c>
      <c r="T15" s="39">
        <v>-0.04</v>
      </c>
      <c r="U15" s="71">
        <v>-3.8924942017229347E-2</v>
      </c>
      <c r="V15" s="26">
        <v>-0.69</v>
      </c>
      <c r="W15" s="39">
        <v>-7.0000000000000007E-2</v>
      </c>
      <c r="X15" s="39">
        <v>-0.1</v>
      </c>
      <c r="Y15" s="39">
        <v>-0.31</v>
      </c>
      <c r="Z15" s="39">
        <v>-0.17</v>
      </c>
      <c r="AA15" s="39">
        <v>-0.04</v>
      </c>
      <c r="AB15" s="39">
        <v>0.06</v>
      </c>
      <c r="AC15" s="39">
        <v>0.02</v>
      </c>
      <c r="AD15" s="49">
        <v>0.15090000000000001</v>
      </c>
      <c r="AE15" s="48">
        <v>0.13</v>
      </c>
      <c r="AF15" s="39">
        <v>0.02</v>
      </c>
      <c r="AG15" s="49">
        <v>2.4400000000000002E-2</v>
      </c>
      <c r="AH15" s="49">
        <v>0</v>
      </c>
    </row>
    <row r="16" spans="1:34" x14ac:dyDescent="0.25">
      <c r="A16" s="16" t="s">
        <v>151</v>
      </c>
      <c r="B16" s="49">
        <v>-0.59730000000000005</v>
      </c>
      <c r="C16" s="48">
        <v>-0.41</v>
      </c>
      <c r="D16" s="49">
        <v>1.2657</v>
      </c>
      <c r="E16" s="49">
        <v>0.26100000000000001</v>
      </c>
      <c r="F16" s="48">
        <v>0.13</v>
      </c>
      <c r="G16" s="49">
        <v>0.31230000000000002</v>
      </c>
      <c r="H16" s="48">
        <v>-0.66</v>
      </c>
      <c r="I16" s="49">
        <v>-0.35360000000000003</v>
      </c>
      <c r="J16" s="48">
        <v>1.9</v>
      </c>
      <c r="K16" s="49">
        <v>7.1300000000000002E-2</v>
      </c>
      <c r="L16" s="49">
        <v>0.1696</v>
      </c>
      <c r="M16" s="48">
        <v>-0.44</v>
      </c>
      <c r="N16" s="48">
        <v>0.19</v>
      </c>
      <c r="O16" s="49">
        <v>0.14380000000000001</v>
      </c>
      <c r="P16" s="48">
        <v>0.1</v>
      </c>
      <c r="Q16" s="48">
        <v>0.27</v>
      </c>
      <c r="R16" s="49">
        <v>0.1</v>
      </c>
      <c r="S16" s="82">
        <v>0.09</v>
      </c>
      <c r="T16" s="48">
        <v>0.02</v>
      </c>
      <c r="U16" s="49">
        <v>0.14367926132403083</v>
      </c>
      <c r="V16" s="49">
        <v>-0.54</v>
      </c>
      <c r="W16" s="39">
        <v>3.25</v>
      </c>
      <c r="X16" s="39">
        <v>1.94</v>
      </c>
      <c r="Y16" s="49">
        <v>-0.1206</v>
      </c>
      <c r="Z16" s="48">
        <v>0.11</v>
      </c>
      <c r="AA16" s="39">
        <v>0.03</v>
      </c>
      <c r="AB16" s="49">
        <v>0.24199999999999999</v>
      </c>
      <c r="AC16" s="49">
        <v>0.17030000000000001</v>
      </c>
      <c r="AD16" s="49">
        <v>0.45860000000000001</v>
      </c>
      <c r="AE16" s="48">
        <v>0.18</v>
      </c>
      <c r="AF16" s="48">
        <v>0.21</v>
      </c>
      <c r="AG16" s="49">
        <v>0.1719</v>
      </c>
      <c r="AH16" s="49">
        <v>0.13719999999999999</v>
      </c>
    </row>
    <row r="17" spans="1:34" x14ac:dyDescent="0.25">
      <c r="A17" s="16" t="s">
        <v>152</v>
      </c>
      <c r="B17" s="39">
        <v>0.55000000000000004</v>
      </c>
      <c r="C17" s="48">
        <v>0.09</v>
      </c>
      <c r="D17" s="39">
        <v>2.4</v>
      </c>
      <c r="E17" s="39">
        <v>0.17</v>
      </c>
      <c r="F17" s="39">
        <v>0.25</v>
      </c>
      <c r="G17" s="39">
        <v>0.12</v>
      </c>
      <c r="H17" s="39">
        <v>0.52</v>
      </c>
      <c r="I17" s="71">
        <v>0.35</v>
      </c>
      <c r="J17" s="39">
        <v>0.14000000000000001</v>
      </c>
      <c r="K17" s="49">
        <v>0.21460000000000001</v>
      </c>
      <c r="L17" s="39">
        <v>0.23</v>
      </c>
      <c r="M17" s="39">
        <v>0.31</v>
      </c>
      <c r="N17" s="39">
        <v>0.13</v>
      </c>
      <c r="O17" s="39"/>
      <c r="P17" s="39">
        <v>0.18</v>
      </c>
      <c r="Q17" s="39">
        <v>0.22</v>
      </c>
      <c r="R17" s="39">
        <v>0.12</v>
      </c>
      <c r="S17" s="82">
        <v>0.4</v>
      </c>
      <c r="T17" s="39">
        <v>0.46</v>
      </c>
      <c r="U17" s="71">
        <v>0.18228969133739825</v>
      </c>
      <c r="V17" s="26">
        <v>0.28000000000000003</v>
      </c>
      <c r="W17" s="39">
        <v>0.35</v>
      </c>
      <c r="X17" s="39">
        <v>0.25</v>
      </c>
      <c r="Y17" s="39">
        <v>0.49</v>
      </c>
      <c r="Z17" s="39">
        <v>0.24</v>
      </c>
      <c r="AA17" s="39">
        <v>0.33</v>
      </c>
      <c r="AB17" s="39">
        <v>0.23</v>
      </c>
      <c r="AC17" s="39">
        <v>0.14000000000000001</v>
      </c>
      <c r="AD17" s="49">
        <v>0.42649999999999999</v>
      </c>
      <c r="AE17" s="48">
        <v>0.28000000000000003</v>
      </c>
      <c r="AF17" s="39">
        <v>0.14000000000000001</v>
      </c>
      <c r="AG17" s="49"/>
      <c r="AH17" s="49">
        <v>0.35</v>
      </c>
    </row>
    <row r="18" spans="1:34" x14ac:dyDescent="0.25">
      <c r="A18" s="16" t="s">
        <v>153</v>
      </c>
      <c r="B18" s="49">
        <v>-0.45779999999999998</v>
      </c>
      <c r="C18" s="48">
        <v>-0.32</v>
      </c>
      <c r="D18" s="49">
        <v>0.97219999999999995</v>
      </c>
      <c r="E18" s="49">
        <v>0.217</v>
      </c>
      <c r="F18" s="48">
        <v>0.11</v>
      </c>
      <c r="G18" s="49">
        <v>0.16830000000000001</v>
      </c>
      <c r="H18" s="48">
        <v>-0.68</v>
      </c>
      <c r="I18" s="49">
        <v>0.27879999999999999</v>
      </c>
      <c r="J18" s="48">
        <v>0.09</v>
      </c>
      <c r="K18" s="49">
        <v>0.1011</v>
      </c>
      <c r="L18" s="49">
        <v>0.16900000000000001</v>
      </c>
      <c r="M18" s="48">
        <v>-0.31</v>
      </c>
      <c r="N18" s="48">
        <v>0.17</v>
      </c>
      <c r="O18" s="49">
        <v>0.14879999999999999</v>
      </c>
      <c r="P18" s="48">
        <v>0.15</v>
      </c>
      <c r="Q18" s="48">
        <v>0.31</v>
      </c>
      <c r="R18" s="49">
        <v>7.5999999999999998E-2</v>
      </c>
      <c r="S18" s="82">
        <v>0.11</v>
      </c>
      <c r="T18" s="48">
        <v>0.04</v>
      </c>
      <c r="U18" s="49">
        <v>0.13751188066932621</v>
      </c>
      <c r="V18" s="49">
        <v>-0.78</v>
      </c>
      <c r="W18" s="39">
        <v>4.22</v>
      </c>
      <c r="X18" s="39">
        <v>2.06</v>
      </c>
      <c r="Y18" s="49">
        <v>-0.45779999999999998</v>
      </c>
      <c r="Z18" s="48">
        <v>7.0000000000000007E-2</v>
      </c>
      <c r="AA18" s="39">
        <v>0.05</v>
      </c>
      <c r="AB18" s="49">
        <v>0.25700000000000001</v>
      </c>
      <c r="AC18" s="49">
        <v>0.19359999999999999</v>
      </c>
      <c r="AD18" s="49">
        <v>0.50749999999999995</v>
      </c>
      <c r="AE18" s="48">
        <v>0.14000000000000001</v>
      </c>
      <c r="AF18" s="48">
        <v>0.19</v>
      </c>
      <c r="AG18" s="49">
        <v>0.17530000000000001</v>
      </c>
      <c r="AH18" s="49">
        <v>0.16120000000000001</v>
      </c>
    </row>
    <row r="19" spans="1:34" x14ac:dyDescent="0.25">
      <c r="A19" s="16" t="s">
        <v>154</v>
      </c>
      <c r="B19" s="49">
        <v>-6.54E-2</v>
      </c>
      <c r="C19" s="48">
        <v>-0.2</v>
      </c>
      <c r="D19" s="49">
        <v>2.06E-2</v>
      </c>
      <c r="E19" s="49">
        <v>6.3E-2</v>
      </c>
      <c r="F19" s="48">
        <v>0.05</v>
      </c>
      <c r="G19" s="49">
        <v>6.3E-2</v>
      </c>
      <c r="H19" s="48">
        <v>-0.24</v>
      </c>
      <c r="I19" s="49">
        <v>6.0000000000000001E-3</v>
      </c>
      <c r="J19" s="48">
        <v>0.04</v>
      </c>
      <c r="K19" s="49">
        <v>3.3799999999999997E-2</v>
      </c>
      <c r="L19" s="49">
        <v>5.3699999999999998E-2</v>
      </c>
      <c r="M19" s="48">
        <v>-0.2</v>
      </c>
      <c r="N19" s="48">
        <v>0.06</v>
      </c>
      <c r="O19" s="49"/>
      <c r="P19" s="48">
        <v>7.0000000000000007E-2</v>
      </c>
      <c r="Q19" s="48">
        <v>0.13</v>
      </c>
      <c r="R19" s="49">
        <v>2.5000000000000001E-2</v>
      </c>
      <c r="S19" s="82">
        <v>0.08</v>
      </c>
      <c r="T19" s="48">
        <v>0.03</v>
      </c>
      <c r="U19" s="49"/>
      <c r="V19" s="49">
        <v>-0.02</v>
      </c>
      <c r="W19" s="39">
        <v>7.08</v>
      </c>
      <c r="X19" s="39">
        <v>11.95</v>
      </c>
      <c r="Y19" s="49">
        <v>-0.1013</v>
      </c>
      <c r="Z19" s="48">
        <v>0.04</v>
      </c>
      <c r="AA19" s="39">
        <v>0.02</v>
      </c>
      <c r="AB19" s="49">
        <v>0.08</v>
      </c>
      <c r="AC19" s="49">
        <v>5.7299999999999997E-2</v>
      </c>
      <c r="AD19" s="49">
        <v>0.1162</v>
      </c>
      <c r="AE19" s="48">
        <v>0.08</v>
      </c>
      <c r="AF19" s="48">
        <v>7.0000000000000007E-2</v>
      </c>
      <c r="AG19" s="48"/>
      <c r="AH19" s="49">
        <v>4.3900000000000002E-2</v>
      </c>
    </row>
    <row r="20" spans="1:34" ht="30" x14ac:dyDescent="0.25">
      <c r="A20" s="16" t="s">
        <v>155</v>
      </c>
      <c r="B20" s="39">
        <v>3.64</v>
      </c>
      <c r="C20" s="39">
        <v>1.73</v>
      </c>
      <c r="D20" s="39">
        <v>2.92</v>
      </c>
      <c r="E20" s="49">
        <v>2.8</v>
      </c>
      <c r="F20" s="39">
        <v>1.77</v>
      </c>
      <c r="G20" s="39">
        <v>1.78</v>
      </c>
      <c r="H20" s="39">
        <v>1.96</v>
      </c>
      <c r="I20" s="71">
        <v>13.81</v>
      </c>
      <c r="J20" s="39">
        <v>1.61</v>
      </c>
      <c r="K20" s="39">
        <v>3.27</v>
      </c>
      <c r="L20" s="39">
        <v>2.04</v>
      </c>
      <c r="M20" s="39">
        <v>1.57</v>
      </c>
      <c r="N20" s="39">
        <v>2.5</v>
      </c>
      <c r="O20" s="39"/>
      <c r="P20" s="39">
        <v>2.2000000000000002</v>
      </c>
      <c r="Q20" s="39">
        <v>2.65</v>
      </c>
      <c r="R20" s="39">
        <v>1.75</v>
      </c>
      <c r="S20" s="82">
        <v>1.97</v>
      </c>
      <c r="T20" s="39">
        <v>1.74</v>
      </c>
      <c r="U20" s="49"/>
      <c r="V20" s="39">
        <v>3.09</v>
      </c>
      <c r="W20" s="39">
        <v>2.11</v>
      </c>
      <c r="X20" s="39">
        <v>1.28</v>
      </c>
      <c r="Y20" s="39">
        <v>2.2200000000000002</v>
      </c>
      <c r="Z20" s="39">
        <v>1.58</v>
      </c>
      <c r="AA20" s="39">
        <v>2.59</v>
      </c>
      <c r="AB20" s="39">
        <v>2.0099999999999998</v>
      </c>
      <c r="AC20" s="39">
        <v>2.27</v>
      </c>
      <c r="AD20" s="39">
        <v>3.51</v>
      </c>
      <c r="AE20" s="39">
        <v>2</v>
      </c>
      <c r="AF20" s="39">
        <v>2.13</v>
      </c>
      <c r="AG20" s="39">
        <v>0.7</v>
      </c>
      <c r="AH20" s="39">
        <v>2.21</v>
      </c>
    </row>
    <row r="21" spans="1:34" x14ac:dyDescent="0.25">
      <c r="A21" s="16" t="s">
        <v>156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81"/>
      <c r="T21" s="39"/>
      <c r="U21" s="4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9">
        <v>6.7999999999999996E-3</v>
      </c>
    </row>
    <row r="22" spans="1:34" x14ac:dyDescent="0.25">
      <c r="A22" s="16" t="s">
        <v>157</v>
      </c>
      <c r="B22" s="49">
        <v>1.18E-2</v>
      </c>
      <c r="C22" s="39"/>
      <c r="D22" s="39"/>
      <c r="E22" s="39"/>
      <c r="F22" s="49">
        <v>5.6099999999999997E-2</v>
      </c>
      <c r="G22" s="49">
        <v>3.6499999999999998E-2</v>
      </c>
      <c r="H22" s="39"/>
      <c r="I22" s="39"/>
      <c r="J22" s="39">
        <v>0.93</v>
      </c>
      <c r="K22" s="39"/>
      <c r="L22" s="39"/>
      <c r="M22" s="39">
        <v>4.29</v>
      </c>
      <c r="N22" s="39"/>
      <c r="O22" s="39">
        <v>0.02</v>
      </c>
      <c r="P22" s="39"/>
      <c r="Q22" s="39"/>
      <c r="R22" s="49">
        <v>1.6E-2</v>
      </c>
      <c r="S22" s="81"/>
      <c r="T22" s="49">
        <v>7.1099999999999997E-2</v>
      </c>
      <c r="U22" s="49">
        <v>1.2800000000000001E-2</v>
      </c>
      <c r="V22" s="51">
        <v>4.9500000000000002E-2</v>
      </c>
      <c r="W22" s="39">
        <v>1.49</v>
      </c>
      <c r="X22" s="39"/>
      <c r="Y22" s="39"/>
      <c r="Z22" s="51">
        <v>2.0400000000000001E-2</v>
      </c>
      <c r="AA22" s="39"/>
      <c r="AB22" s="49">
        <v>1.7999999999999999E-2</v>
      </c>
      <c r="AC22" s="39"/>
      <c r="AD22" s="39"/>
      <c r="AE22" s="39"/>
      <c r="AF22" s="39"/>
      <c r="AG22" s="49">
        <v>1.9900000000000001E-2</v>
      </c>
      <c r="AH22" s="49"/>
    </row>
    <row r="23" spans="1:34" x14ac:dyDescent="0.25">
      <c r="A23" s="16" t="s">
        <v>158</v>
      </c>
      <c r="B23" s="49">
        <v>5.8999999999999999E-3</v>
      </c>
      <c r="C23" s="39"/>
      <c r="D23" s="39"/>
      <c r="E23" s="39"/>
      <c r="F23" s="49">
        <v>1.8700000000000001E-2</v>
      </c>
      <c r="G23" s="49">
        <v>8.0999999999999996E-3</v>
      </c>
      <c r="H23" s="39"/>
      <c r="I23" s="39"/>
      <c r="J23" s="39">
        <v>0.69</v>
      </c>
      <c r="K23" s="39"/>
      <c r="L23" s="39"/>
      <c r="M23" s="39">
        <v>0.82</v>
      </c>
      <c r="N23" s="39"/>
      <c r="O23" s="39">
        <v>0.01</v>
      </c>
      <c r="P23" s="39"/>
      <c r="Q23" s="39"/>
      <c r="R23" s="49">
        <v>4.0000000000000001E-3</v>
      </c>
      <c r="S23" s="81"/>
      <c r="T23" s="49">
        <v>1.9900000000000001E-2</v>
      </c>
      <c r="U23" s="49"/>
      <c r="V23" s="51">
        <v>1.54E-2</v>
      </c>
      <c r="W23" s="39">
        <v>0.77</v>
      </c>
      <c r="X23" s="39"/>
      <c r="Y23" s="39"/>
      <c r="Z23" s="51">
        <v>1.6400000000000001E-2</v>
      </c>
      <c r="AA23" s="39"/>
      <c r="AB23" s="49">
        <v>1.2999999999999999E-2</v>
      </c>
      <c r="AC23" s="39"/>
      <c r="AD23" s="39"/>
      <c r="AE23" s="39"/>
      <c r="AF23" s="39"/>
      <c r="AG23" s="49">
        <v>8.3999999999999995E-3</v>
      </c>
      <c r="AH23" s="49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7.42578125" style="8" customWidth="1"/>
    <col min="2" max="34" width="16" style="8" customWidth="1"/>
    <col min="35" max="16384" width="9.140625" style="8"/>
  </cols>
  <sheetData>
    <row r="1" spans="1:34" ht="18.75" x14ac:dyDescent="0.3">
      <c r="A1" s="10" t="s">
        <v>309</v>
      </c>
    </row>
    <row r="2" spans="1:34" x14ac:dyDescent="0.25">
      <c r="A2" s="8" t="s">
        <v>110</v>
      </c>
    </row>
    <row r="3" spans="1:34" x14ac:dyDescent="0.25">
      <c r="A3" s="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8</v>
      </c>
      <c r="J3" s="73" t="s">
        <v>9</v>
      </c>
      <c r="K3" s="73" t="s">
        <v>10</v>
      </c>
      <c r="L3" s="73" t="s">
        <v>11</v>
      </c>
      <c r="M3" s="73" t="s">
        <v>293</v>
      </c>
      <c r="N3" s="73" t="s">
        <v>12</v>
      </c>
      <c r="O3" s="73" t="s">
        <v>13</v>
      </c>
      <c r="P3" s="73" t="s">
        <v>14</v>
      </c>
      <c r="Q3" s="73" t="s">
        <v>15</v>
      </c>
      <c r="R3" s="73" t="s">
        <v>16</v>
      </c>
      <c r="S3" s="73" t="s">
        <v>295</v>
      </c>
      <c r="T3" s="73" t="s">
        <v>17</v>
      </c>
      <c r="U3" s="73" t="s">
        <v>18</v>
      </c>
      <c r="V3" s="75" t="s">
        <v>294</v>
      </c>
      <c r="W3" s="73" t="s">
        <v>19</v>
      </c>
      <c r="X3" s="73" t="s">
        <v>20</v>
      </c>
      <c r="Y3" s="73" t="s">
        <v>21</v>
      </c>
      <c r="Z3" s="73" t="s">
        <v>22</v>
      </c>
      <c r="AA3" s="73" t="s">
        <v>23</v>
      </c>
      <c r="AB3" s="73" t="s">
        <v>24</v>
      </c>
      <c r="AC3" s="73" t="s">
        <v>25</v>
      </c>
      <c r="AD3" s="73" t="s">
        <v>26</v>
      </c>
      <c r="AE3" s="73" t="s">
        <v>27</v>
      </c>
      <c r="AF3" s="73" t="s">
        <v>28</v>
      </c>
      <c r="AG3" s="72" t="s">
        <v>29</v>
      </c>
      <c r="AH3" s="73" t="s">
        <v>30</v>
      </c>
    </row>
    <row r="4" spans="1:34" ht="15" customHeight="1" x14ac:dyDescent="0.25">
      <c r="A4" s="3" t="s">
        <v>111</v>
      </c>
      <c r="B4" s="11">
        <v>25063</v>
      </c>
      <c r="C4" s="11">
        <v>84512.43</v>
      </c>
      <c r="D4" s="11">
        <v>1111043</v>
      </c>
      <c r="E4" s="11">
        <v>1604085</v>
      </c>
      <c r="F4" s="11">
        <v>502484</v>
      </c>
      <c r="G4" s="11">
        <v>898120</v>
      </c>
      <c r="H4" s="11">
        <v>25342</v>
      </c>
      <c r="I4" s="71">
        <v>765258.47</v>
      </c>
      <c r="J4" s="11">
        <v>419422</v>
      </c>
      <c r="K4" s="11">
        <v>362138</v>
      </c>
      <c r="L4" s="11">
        <v>1095815</v>
      </c>
      <c r="M4" s="11">
        <v>152571</v>
      </c>
      <c r="N4" s="11">
        <v>2953204</v>
      </c>
      <c r="O4" s="11">
        <v>820248.84</v>
      </c>
      <c r="P4" s="11">
        <v>56449</v>
      </c>
      <c r="Q4" s="11">
        <v>218231</v>
      </c>
      <c r="R4" s="11">
        <v>210775</v>
      </c>
      <c r="S4" s="11">
        <v>39393.65</v>
      </c>
      <c r="T4" s="11">
        <v>74258</v>
      </c>
      <c r="U4" s="11">
        <v>3390170</v>
      </c>
      <c r="V4" s="11">
        <v>24432</v>
      </c>
      <c r="W4" s="11">
        <v>4367642.6399999997</v>
      </c>
      <c r="X4" s="11">
        <v>3517886</v>
      </c>
      <c r="Y4" s="11"/>
      <c r="Z4" s="11">
        <v>1056593</v>
      </c>
      <c r="AA4" s="11">
        <v>129763</v>
      </c>
      <c r="AB4" s="11">
        <v>570060</v>
      </c>
      <c r="AC4" s="11">
        <v>704042</v>
      </c>
      <c r="AD4" s="11">
        <v>830944</v>
      </c>
      <c r="AE4" s="11">
        <v>371648</v>
      </c>
      <c r="AF4" s="11">
        <v>1136770</v>
      </c>
      <c r="AG4" s="71">
        <v>3744791.27</v>
      </c>
      <c r="AH4" s="11">
        <v>279306</v>
      </c>
    </row>
    <row r="5" spans="1:34" ht="15" customHeight="1" x14ac:dyDescent="0.25">
      <c r="A5" s="3" t="s">
        <v>112</v>
      </c>
      <c r="B5" s="11"/>
      <c r="C5" s="11"/>
      <c r="D5" s="11"/>
      <c r="E5" s="11"/>
      <c r="F5" s="11"/>
      <c r="G5" s="11"/>
      <c r="H5" s="11"/>
      <c r="I5" s="7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71"/>
      <c r="AH5" s="11"/>
    </row>
    <row r="6" spans="1:34" ht="15" customHeight="1" x14ac:dyDescent="0.25">
      <c r="A6" s="3" t="s">
        <v>113</v>
      </c>
      <c r="B6" s="11">
        <v>15840</v>
      </c>
      <c r="C6" s="11">
        <v>49692.9</v>
      </c>
      <c r="D6" s="11">
        <v>234541</v>
      </c>
      <c r="E6" s="11">
        <v>1279009</v>
      </c>
      <c r="F6" s="11">
        <v>347240</v>
      </c>
      <c r="G6" s="11">
        <v>573234</v>
      </c>
      <c r="H6" s="11">
        <v>19163</v>
      </c>
      <c r="I6" s="71">
        <v>741148.53</v>
      </c>
      <c r="J6" s="11"/>
      <c r="K6" s="11"/>
      <c r="L6" s="11"/>
      <c r="M6" s="11"/>
      <c r="N6" s="11"/>
      <c r="O6" s="11"/>
      <c r="P6" s="11"/>
      <c r="Q6" s="11">
        <v>162517</v>
      </c>
      <c r="R6" s="11"/>
      <c r="S6" s="11"/>
      <c r="T6" s="11">
        <v>49823</v>
      </c>
      <c r="U6" s="11"/>
      <c r="V6" s="11">
        <v>16888</v>
      </c>
      <c r="W6" s="11">
        <v>3979941.34</v>
      </c>
      <c r="X6" s="11">
        <v>1446522</v>
      </c>
      <c r="Y6" s="11"/>
      <c r="Z6" s="11">
        <v>829289</v>
      </c>
      <c r="AA6" s="11">
        <v>113657</v>
      </c>
      <c r="AB6" s="11"/>
      <c r="AC6" s="11"/>
      <c r="AD6" s="11">
        <v>767657</v>
      </c>
      <c r="AE6" s="11"/>
      <c r="AF6" s="11">
        <v>844147</v>
      </c>
      <c r="AG6" s="71">
        <v>2898987.93</v>
      </c>
      <c r="AH6" s="11">
        <v>214446</v>
      </c>
    </row>
    <row r="7" spans="1:34" ht="15" customHeight="1" x14ac:dyDescent="0.25">
      <c r="A7" s="3" t="s">
        <v>115</v>
      </c>
      <c r="B7" s="11"/>
      <c r="C7" s="11"/>
      <c r="D7" s="11"/>
      <c r="E7" s="11"/>
      <c r="F7" s="11"/>
      <c r="G7" s="11"/>
      <c r="H7" s="11"/>
      <c r="I7" s="71">
        <v>45199.18</v>
      </c>
      <c r="J7" s="11">
        <v>66935</v>
      </c>
      <c r="K7" s="11">
        <v>201934</v>
      </c>
      <c r="L7" s="11">
        <v>793917</v>
      </c>
      <c r="M7" s="11">
        <v>31569</v>
      </c>
      <c r="N7" s="11">
        <v>2379999</v>
      </c>
      <c r="O7" s="11">
        <v>576362.22</v>
      </c>
      <c r="P7" s="11">
        <v>52508</v>
      </c>
      <c r="Q7" s="11"/>
      <c r="R7" s="11">
        <v>172823</v>
      </c>
      <c r="S7" s="11">
        <v>35453</v>
      </c>
      <c r="T7" s="11"/>
      <c r="U7" s="11">
        <v>2877476</v>
      </c>
      <c r="V7" s="11"/>
      <c r="W7" s="11"/>
      <c r="X7" s="11"/>
      <c r="Y7" s="11"/>
      <c r="Z7" s="11"/>
      <c r="AA7" s="11"/>
      <c r="AB7" s="11">
        <v>468863</v>
      </c>
      <c r="AC7" s="11">
        <v>679115</v>
      </c>
      <c r="AD7" s="11"/>
      <c r="AE7" s="11">
        <v>31418</v>
      </c>
      <c r="AF7" s="11"/>
      <c r="AG7" s="54"/>
      <c r="AH7" s="11"/>
    </row>
    <row r="8" spans="1:34" ht="15" customHeight="1" x14ac:dyDescent="0.25">
      <c r="A8" s="3" t="s">
        <v>116</v>
      </c>
      <c r="B8" s="11"/>
      <c r="C8" s="11"/>
      <c r="D8" s="11">
        <v>108425</v>
      </c>
      <c r="E8" s="11"/>
      <c r="F8" s="11"/>
      <c r="G8" s="11"/>
      <c r="H8" s="11"/>
      <c r="I8" s="71"/>
      <c r="J8" s="11">
        <v>343101</v>
      </c>
      <c r="K8" s="11">
        <v>926</v>
      </c>
      <c r="L8" s="11"/>
      <c r="M8" s="11">
        <v>99815</v>
      </c>
      <c r="N8" s="11">
        <v>4097</v>
      </c>
      <c r="O8" s="11">
        <v>214473.92</v>
      </c>
      <c r="P8" s="11"/>
      <c r="Q8" s="11"/>
      <c r="R8" s="11">
        <v>37952</v>
      </c>
      <c r="S8" s="11">
        <v>3164.21</v>
      </c>
      <c r="T8" s="11"/>
      <c r="U8" s="11">
        <v>509509</v>
      </c>
      <c r="V8" s="11"/>
      <c r="W8" s="11"/>
      <c r="X8" s="11"/>
      <c r="Y8" s="11"/>
      <c r="Z8" s="11"/>
      <c r="AA8" s="11"/>
      <c r="AB8" s="11"/>
      <c r="AC8" s="11"/>
      <c r="AD8" s="11"/>
      <c r="AE8" s="11">
        <v>326834</v>
      </c>
      <c r="AF8" s="11"/>
      <c r="AG8" s="71"/>
      <c r="AH8" s="11">
        <v>113</v>
      </c>
    </row>
    <row r="9" spans="1:34" ht="30" customHeight="1" x14ac:dyDescent="0.25">
      <c r="A9" s="3" t="s">
        <v>114</v>
      </c>
      <c r="B9" s="11">
        <v>9223</v>
      </c>
      <c r="C9" s="11">
        <v>34238.39</v>
      </c>
      <c r="D9" s="11">
        <v>878635</v>
      </c>
      <c r="E9" s="11">
        <v>230861</v>
      </c>
      <c r="F9" s="11">
        <v>141452</v>
      </c>
      <c r="G9" s="11">
        <v>309951</v>
      </c>
      <c r="H9" s="11">
        <v>5169</v>
      </c>
      <c r="I9" s="71"/>
      <c r="J9" s="11"/>
      <c r="K9" s="11">
        <v>114420</v>
      </c>
      <c r="L9" s="11">
        <v>301897</v>
      </c>
      <c r="M9" s="11">
        <v>18226</v>
      </c>
      <c r="N9" s="11">
        <v>551237</v>
      </c>
      <c r="O9" s="11">
        <v>29412.7</v>
      </c>
      <c r="P9" s="11">
        <v>10</v>
      </c>
      <c r="Q9" s="11">
        <v>55343</v>
      </c>
      <c r="R9" s="11"/>
      <c r="S9" s="11"/>
      <c r="T9" s="11">
        <v>17131</v>
      </c>
      <c r="U9" s="11"/>
      <c r="V9" s="11">
        <v>4129</v>
      </c>
      <c r="W9" s="11">
        <v>368711.66</v>
      </c>
      <c r="X9" s="11">
        <v>759716</v>
      </c>
      <c r="Y9" s="11"/>
      <c r="Z9" s="11">
        <v>227304</v>
      </c>
      <c r="AA9" s="11">
        <v>12954</v>
      </c>
      <c r="AB9" s="11">
        <v>106139</v>
      </c>
      <c r="AC9" s="11"/>
      <c r="AD9" s="11">
        <v>39650</v>
      </c>
      <c r="AE9" s="11"/>
      <c r="AF9" s="11">
        <v>267730</v>
      </c>
      <c r="AG9" s="71">
        <v>706965.56</v>
      </c>
      <c r="AH9" s="11">
        <v>56442</v>
      </c>
    </row>
    <row r="10" spans="1:34" s="45" customFormat="1" ht="15" customHeight="1" x14ac:dyDescent="0.25">
      <c r="A10" s="20" t="s">
        <v>117</v>
      </c>
      <c r="B10" s="44"/>
      <c r="C10" s="44">
        <v>581.14</v>
      </c>
      <c r="D10" s="44">
        <v>-110558</v>
      </c>
      <c r="E10" s="44">
        <v>94216</v>
      </c>
      <c r="F10" s="44">
        <v>13792</v>
      </c>
      <c r="G10" s="44">
        <v>14935</v>
      </c>
      <c r="H10" s="44">
        <v>1010</v>
      </c>
      <c r="I10" s="28">
        <v>-21089.24</v>
      </c>
      <c r="J10" s="44">
        <v>9386</v>
      </c>
      <c r="K10" s="44">
        <v>44857</v>
      </c>
      <c r="L10" s="44"/>
      <c r="M10" s="44">
        <v>2961</v>
      </c>
      <c r="N10" s="44">
        <v>17871</v>
      </c>
      <c r="O10" s="44">
        <v>0</v>
      </c>
      <c r="P10" s="44">
        <v>3931</v>
      </c>
      <c r="Q10" s="44">
        <v>371</v>
      </c>
      <c r="R10" s="44"/>
      <c r="S10" s="44">
        <v>776.44</v>
      </c>
      <c r="T10" s="44">
        <v>7304</v>
      </c>
      <c r="U10" s="44">
        <v>3185</v>
      </c>
      <c r="V10" s="44">
        <v>3415</v>
      </c>
      <c r="W10" s="44">
        <v>18989.64</v>
      </c>
      <c r="X10" s="44">
        <v>1311648</v>
      </c>
      <c r="Y10" s="44"/>
      <c r="Z10" s="44"/>
      <c r="AA10" s="44">
        <v>3152</v>
      </c>
      <c r="AB10" s="44">
        <v>-4942</v>
      </c>
      <c r="AC10" s="44">
        <v>24928</v>
      </c>
      <c r="AD10" s="44">
        <v>23637</v>
      </c>
      <c r="AE10" s="44">
        <v>13396</v>
      </c>
      <c r="AF10" s="44">
        <v>24894</v>
      </c>
      <c r="AG10" s="28">
        <v>138837.78</v>
      </c>
      <c r="AH10" s="44">
        <v>8304</v>
      </c>
    </row>
    <row r="11" spans="1:34" ht="15" customHeight="1" x14ac:dyDescent="0.25">
      <c r="A11" s="3" t="s">
        <v>118</v>
      </c>
      <c r="B11" s="11">
        <v>22752</v>
      </c>
      <c r="C11" s="11">
        <v>25203.37</v>
      </c>
      <c r="D11" s="11">
        <v>466689</v>
      </c>
      <c r="E11" s="11">
        <v>560397</v>
      </c>
      <c r="F11" s="11">
        <v>83591</v>
      </c>
      <c r="G11" s="11">
        <v>167161</v>
      </c>
      <c r="H11" s="11">
        <v>10351</v>
      </c>
      <c r="I11" s="71">
        <v>554419.15</v>
      </c>
      <c r="J11" s="11">
        <v>98165</v>
      </c>
      <c r="K11" s="11">
        <v>71164</v>
      </c>
      <c r="L11" s="11">
        <v>325102</v>
      </c>
      <c r="M11" s="11">
        <v>72903</v>
      </c>
      <c r="N11" s="11">
        <v>641497</v>
      </c>
      <c r="O11" s="11">
        <v>485465.73</v>
      </c>
      <c r="P11" s="11">
        <v>23533</v>
      </c>
      <c r="Q11" s="11">
        <v>83367</v>
      </c>
      <c r="R11" s="11">
        <v>49237</v>
      </c>
      <c r="S11" s="11">
        <v>28849.31</v>
      </c>
      <c r="T11" s="11">
        <v>52657</v>
      </c>
      <c r="U11" s="11"/>
      <c r="V11" s="11">
        <v>12052</v>
      </c>
      <c r="W11" s="11">
        <v>1836426.65</v>
      </c>
      <c r="X11" s="11">
        <v>72894</v>
      </c>
      <c r="Y11" s="11"/>
      <c r="Z11" s="11">
        <v>256585</v>
      </c>
      <c r="AA11" s="11">
        <v>116028</v>
      </c>
      <c r="AB11" s="11">
        <v>132834</v>
      </c>
      <c r="AC11" s="11">
        <v>227122</v>
      </c>
      <c r="AD11" s="11">
        <v>164981</v>
      </c>
      <c r="AE11" s="11">
        <v>232127</v>
      </c>
      <c r="AF11" s="11">
        <v>329066</v>
      </c>
      <c r="AG11" s="71">
        <v>207912.21</v>
      </c>
      <c r="AH11" s="11">
        <v>100598</v>
      </c>
    </row>
    <row r="12" spans="1:34" x14ac:dyDescent="0.25">
      <c r="A12" s="3" t="s">
        <v>112</v>
      </c>
      <c r="B12" s="11"/>
      <c r="C12" s="11"/>
      <c r="D12" s="11"/>
      <c r="E12" s="11"/>
      <c r="F12" s="11"/>
      <c r="G12" s="11"/>
      <c r="H12" s="11"/>
      <c r="I12" s="7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71"/>
      <c r="AH12" s="11"/>
    </row>
    <row r="13" spans="1:34" ht="30" customHeight="1" x14ac:dyDescent="0.25">
      <c r="A13" s="3" t="s">
        <v>119</v>
      </c>
      <c r="B13" s="11">
        <v>4144</v>
      </c>
      <c r="C13" s="11"/>
      <c r="D13" s="11">
        <v>828</v>
      </c>
      <c r="E13" s="11">
        <v>84758</v>
      </c>
      <c r="F13" s="11">
        <v>4269</v>
      </c>
      <c r="G13" s="11">
        <v>27626</v>
      </c>
      <c r="H13" s="11">
        <v>1581</v>
      </c>
      <c r="I13" s="71">
        <v>34097.620000000003</v>
      </c>
      <c r="J13" s="11">
        <v>23740</v>
      </c>
      <c r="K13" s="11"/>
      <c r="L13" s="11">
        <v>48080</v>
      </c>
      <c r="M13" s="11">
        <v>12490</v>
      </c>
      <c r="N13" s="11">
        <v>20623</v>
      </c>
      <c r="O13" s="11">
        <v>244078.4</v>
      </c>
      <c r="P13" s="11">
        <v>10189</v>
      </c>
      <c r="Q13" s="11">
        <v>10886</v>
      </c>
      <c r="R13" s="11">
        <v>12046</v>
      </c>
      <c r="S13" s="11">
        <v>7425.43</v>
      </c>
      <c r="T13" s="11">
        <v>25219</v>
      </c>
      <c r="U13" s="11"/>
      <c r="V13" s="11">
        <v>0.01</v>
      </c>
      <c r="W13" s="11">
        <v>476957.5</v>
      </c>
      <c r="X13" s="11">
        <v>953710</v>
      </c>
      <c r="Y13" s="11"/>
      <c r="Z13" s="11">
        <v>58510</v>
      </c>
      <c r="AA13" s="11">
        <v>28852</v>
      </c>
      <c r="AB13" s="11"/>
      <c r="AC13" s="11">
        <v>25552</v>
      </c>
      <c r="AD13" s="11">
        <v>22088</v>
      </c>
      <c r="AE13" s="11">
        <v>27655</v>
      </c>
      <c r="AF13" s="11">
        <v>65412</v>
      </c>
      <c r="AG13" s="71">
        <v>39250.980000000003</v>
      </c>
      <c r="AH13" s="11">
        <v>7399</v>
      </c>
    </row>
    <row r="14" spans="1:34" s="45" customFormat="1" x14ac:dyDescent="0.25">
      <c r="A14" s="20" t="s">
        <v>120</v>
      </c>
      <c r="B14" s="44">
        <v>18608</v>
      </c>
      <c r="C14" s="44">
        <v>25203.37</v>
      </c>
      <c r="D14" s="44">
        <v>465861</v>
      </c>
      <c r="E14" s="44">
        <v>475639</v>
      </c>
      <c r="F14" s="44">
        <v>79323</v>
      </c>
      <c r="G14" s="44">
        <v>139535</v>
      </c>
      <c r="H14" s="44">
        <v>8770</v>
      </c>
      <c r="I14" s="28">
        <v>520321.52</v>
      </c>
      <c r="J14" s="44">
        <v>74425</v>
      </c>
      <c r="K14" s="44">
        <v>71164</v>
      </c>
      <c r="L14" s="44">
        <v>277022</v>
      </c>
      <c r="M14" s="44">
        <v>60413</v>
      </c>
      <c r="N14" s="44">
        <v>620874</v>
      </c>
      <c r="O14" s="44">
        <v>241387.33</v>
      </c>
      <c r="P14" s="44">
        <v>13343</v>
      </c>
      <c r="Q14" s="44">
        <v>72481</v>
      </c>
      <c r="R14" s="44">
        <v>37191</v>
      </c>
      <c r="S14" s="44">
        <v>21423.89</v>
      </c>
      <c r="T14" s="44">
        <v>27438</v>
      </c>
      <c r="U14" s="44"/>
      <c r="V14" s="44">
        <v>12052</v>
      </c>
      <c r="W14" s="44">
        <v>1359469.16</v>
      </c>
      <c r="X14" s="44">
        <v>-880816</v>
      </c>
      <c r="Y14" s="44"/>
      <c r="Z14" s="44">
        <v>198075</v>
      </c>
      <c r="AA14" s="44">
        <v>87176</v>
      </c>
      <c r="AB14" s="44">
        <v>132834</v>
      </c>
      <c r="AC14" s="44">
        <v>201570</v>
      </c>
      <c r="AD14" s="44">
        <v>142893</v>
      </c>
      <c r="AE14" s="44">
        <v>204471</v>
      </c>
      <c r="AF14" s="44">
        <v>263654</v>
      </c>
      <c r="AG14" s="28">
        <v>168661.23</v>
      </c>
      <c r="AH14" s="44">
        <v>93200</v>
      </c>
    </row>
    <row r="15" spans="1:34" s="9" customFormat="1" ht="15" customHeight="1" x14ac:dyDescent="0.25">
      <c r="A15" s="4" t="s">
        <v>121</v>
      </c>
      <c r="B15" s="12">
        <v>18608</v>
      </c>
      <c r="C15" s="12">
        <v>25784.51</v>
      </c>
      <c r="D15" s="12">
        <v>355303</v>
      </c>
      <c r="E15" s="12">
        <v>569854</v>
      </c>
      <c r="F15" s="12">
        <v>93114</v>
      </c>
      <c r="G15" s="12">
        <v>154470</v>
      </c>
      <c r="H15" s="12">
        <v>9780</v>
      </c>
      <c r="I15" s="42">
        <v>499232.29</v>
      </c>
      <c r="J15" s="12">
        <v>83811</v>
      </c>
      <c r="K15" s="12">
        <v>116021</v>
      </c>
      <c r="L15" s="12">
        <v>277022</v>
      </c>
      <c r="M15" s="12">
        <v>63374</v>
      </c>
      <c r="N15" s="12">
        <v>638745</v>
      </c>
      <c r="O15" s="12">
        <v>241387.33</v>
      </c>
      <c r="P15" s="12">
        <v>17274</v>
      </c>
      <c r="Q15" s="12">
        <v>72853</v>
      </c>
      <c r="R15" s="12">
        <v>37191</v>
      </c>
      <c r="S15" s="12">
        <v>22200.33</v>
      </c>
      <c r="T15" s="12">
        <v>34742</v>
      </c>
      <c r="U15" s="12">
        <v>3185</v>
      </c>
      <c r="V15" s="12">
        <v>15467</v>
      </c>
      <c r="W15" s="12">
        <v>1378458.8</v>
      </c>
      <c r="X15" s="12">
        <v>430832</v>
      </c>
      <c r="Y15" s="12"/>
      <c r="Z15" s="12">
        <v>198075</v>
      </c>
      <c r="AA15" s="12">
        <v>90328</v>
      </c>
      <c r="AB15" s="12">
        <v>127892</v>
      </c>
      <c r="AC15" s="12">
        <v>226498</v>
      </c>
      <c r="AD15" s="12">
        <v>166530</v>
      </c>
      <c r="AE15" s="12">
        <v>217868</v>
      </c>
      <c r="AF15" s="12">
        <v>288548</v>
      </c>
      <c r="AG15" s="42">
        <v>307499.01</v>
      </c>
      <c r="AH15" s="12">
        <v>101504</v>
      </c>
    </row>
    <row r="16" spans="1:34" s="9" customFormat="1" ht="14.25" customHeight="1" x14ac:dyDescent="0.25">
      <c r="A16" s="4" t="s">
        <v>122</v>
      </c>
      <c r="B16" s="12">
        <v>5107</v>
      </c>
      <c r="C16" s="12">
        <v>14870.8</v>
      </c>
      <c r="D16" s="12">
        <v>121639</v>
      </c>
      <c r="E16" s="12">
        <v>203212</v>
      </c>
      <c r="F16" s="12">
        <v>52603</v>
      </c>
      <c r="G16" s="12">
        <v>86645</v>
      </c>
      <c r="H16" s="12">
        <v>5000</v>
      </c>
      <c r="I16" s="42">
        <v>36152.06</v>
      </c>
      <c r="J16" s="12">
        <v>52005</v>
      </c>
      <c r="K16" s="12">
        <v>35432</v>
      </c>
      <c r="L16" s="12">
        <v>136099</v>
      </c>
      <c r="M16" s="12">
        <v>40292</v>
      </c>
      <c r="N16" s="12">
        <v>255757</v>
      </c>
      <c r="O16" s="12">
        <v>142922.79</v>
      </c>
      <c r="P16" s="12">
        <v>7848</v>
      </c>
      <c r="Q16" s="12">
        <v>27456</v>
      </c>
      <c r="R16" s="12">
        <v>21218</v>
      </c>
      <c r="S16" s="12">
        <v>11258.82</v>
      </c>
      <c r="T16" s="12">
        <v>19914</v>
      </c>
      <c r="U16" s="12">
        <v>382193</v>
      </c>
      <c r="V16" s="12">
        <v>5000</v>
      </c>
      <c r="W16" s="12">
        <v>654057.77</v>
      </c>
      <c r="X16" s="12">
        <v>336009</v>
      </c>
      <c r="Y16" s="12"/>
      <c r="Z16" s="12">
        <v>125138</v>
      </c>
      <c r="AA16" s="12">
        <v>34834</v>
      </c>
      <c r="AB16" s="12">
        <v>63725</v>
      </c>
      <c r="AC16" s="12">
        <v>99851</v>
      </c>
      <c r="AD16" s="12">
        <v>47506</v>
      </c>
      <c r="AE16" s="12">
        <v>108970</v>
      </c>
      <c r="AF16" s="12">
        <v>135233</v>
      </c>
      <c r="AG16" s="42">
        <v>438723.72</v>
      </c>
      <c r="AH16" s="12">
        <v>45905</v>
      </c>
    </row>
    <row r="17" spans="1:34" s="43" customFormat="1" ht="14.25" customHeight="1" x14ac:dyDescent="0.25">
      <c r="A17" s="21" t="s">
        <v>123</v>
      </c>
      <c r="B17" s="42">
        <v>3.64</v>
      </c>
      <c r="C17" s="42">
        <v>1.73</v>
      </c>
      <c r="D17" s="42">
        <v>2.92</v>
      </c>
      <c r="E17" s="42">
        <v>2.8</v>
      </c>
      <c r="F17" s="42">
        <v>1.77</v>
      </c>
      <c r="G17" s="42">
        <v>1.7829999999999999</v>
      </c>
      <c r="H17" s="42">
        <v>1.96</v>
      </c>
      <c r="I17" s="42">
        <v>13.81</v>
      </c>
      <c r="J17" s="42">
        <v>1.61</v>
      </c>
      <c r="K17" s="42">
        <v>3.27</v>
      </c>
      <c r="L17" s="42">
        <v>2.04</v>
      </c>
      <c r="M17" s="42">
        <v>1.57</v>
      </c>
      <c r="N17" s="42">
        <v>2.5</v>
      </c>
      <c r="O17" s="42">
        <v>1.69</v>
      </c>
      <c r="P17" s="42">
        <v>2.2000000000000002</v>
      </c>
      <c r="Q17" s="42">
        <v>2.65</v>
      </c>
      <c r="R17" s="42">
        <v>1.75</v>
      </c>
      <c r="S17" s="42">
        <v>1.9718</v>
      </c>
      <c r="T17" s="42">
        <v>1.74</v>
      </c>
      <c r="U17" s="42">
        <v>0.01</v>
      </c>
      <c r="V17" s="42">
        <v>3.09</v>
      </c>
      <c r="W17" s="42">
        <v>2.11</v>
      </c>
      <c r="X17" s="42">
        <v>1.28</v>
      </c>
      <c r="Y17" s="42"/>
      <c r="Z17" s="42">
        <v>1.58</v>
      </c>
      <c r="AA17" s="42">
        <v>2.59</v>
      </c>
      <c r="AB17" s="42">
        <v>2.0099999999999998</v>
      </c>
      <c r="AC17" s="42">
        <v>2.27</v>
      </c>
      <c r="AD17" s="42">
        <v>3.51</v>
      </c>
      <c r="AE17" s="42">
        <v>2</v>
      </c>
      <c r="AF17" s="42">
        <v>2.13</v>
      </c>
      <c r="AG17" s="42">
        <v>0.7</v>
      </c>
      <c r="AH17" s="42">
        <v>2.21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4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8" customWidth="1"/>
    <col min="2" max="69" width="16" style="8" customWidth="1"/>
    <col min="70" max="16384" width="9.140625" style="8"/>
  </cols>
  <sheetData>
    <row r="1" spans="1:69" ht="18.75" x14ac:dyDescent="0.3">
      <c r="A1" s="18" t="s">
        <v>124</v>
      </c>
    </row>
    <row r="2" spans="1:69" x14ac:dyDescent="0.25">
      <c r="A2" s="8" t="s">
        <v>125</v>
      </c>
    </row>
    <row r="3" spans="1:69" x14ac:dyDescent="0.25">
      <c r="A3" s="1" t="s">
        <v>0</v>
      </c>
      <c r="B3" s="113" t="s">
        <v>1</v>
      </c>
      <c r="C3" s="113"/>
      <c r="D3" s="113" t="s">
        <v>2</v>
      </c>
      <c r="E3" s="113"/>
      <c r="F3" s="113" t="s">
        <v>3</v>
      </c>
      <c r="G3" s="113"/>
      <c r="H3" s="113" t="s">
        <v>4</v>
      </c>
      <c r="I3" s="113"/>
      <c r="J3" s="113" t="s">
        <v>5</v>
      </c>
      <c r="K3" s="113"/>
      <c r="L3" s="113" t="s">
        <v>6</v>
      </c>
      <c r="M3" s="113"/>
      <c r="N3" s="113" t="s">
        <v>7</v>
      </c>
      <c r="O3" s="113"/>
      <c r="P3" s="113" t="s">
        <v>8</v>
      </c>
      <c r="Q3" s="113"/>
      <c r="R3" s="113" t="s">
        <v>9</v>
      </c>
      <c r="S3" s="113"/>
      <c r="T3" s="113" t="s">
        <v>10</v>
      </c>
      <c r="U3" s="113"/>
      <c r="V3" s="113" t="s">
        <v>11</v>
      </c>
      <c r="W3" s="113"/>
      <c r="X3" s="113" t="s">
        <v>293</v>
      </c>
      <c r="Y3" s="113"/>
      <c r="Z3" s="113" t="s">
        <v>12</v>
      </c>
      <c r="AA3" s="113"/>
      <c r="AB3" s="113" t="s">
        <v>13</v>
      </c>
      <c r="AC3" s="113"/>
      <c r="AD3" s="113" t="s">
        <v>14</v>
      </c>
      <c r="AE3" s="113"/>
      <c r="AF3" s="113" t="s">
        <v>15</v>
      </c>
      <c r="AG3" s="113"/>
      <c r="AH3" s="113" t="s">
        <v>16</v>
      </c>
      <c r="AI3" s="113"/>
      <c r="AJ3" s="113" t="s">
        <v>295</v>
      </c>
      <c r="AK3" s="113"/>
      <c r="AL3" s="113" t="s">
        <v>17</v>
      </c>
      <c r="AM3" s="113"/>
      <c r="AN3" s="113" t="s">
        <v>18</v>
      </c>
      <c r="AO3" s="113"/>
      <c r="AP3" s="113" t="s">
        <v>294</v>
      </c>
      <c r="AQ3" s="113"/>
      <c r="AR3" s="113" t="s">
        <v>19</v>
      </c>
      <c r="AS3" s="113"/>
      <c r="AT3" s="113" t="s">
        <v>20</v>
      </c>
      <c r="AU3" s="113"/>
      <c r="AV3" s="113" t="s">
        <v>21</v>
      </c>
      <c r="AW3" s="113"/>
      <c r="AX3" s="113" t="s">
        <v>22</v>
      </c>
      <c r="AY3" s="113"/>
      <c r="AZ3" s="113" t="s">
        <v>23</v>
      </c>
      <c r="BA3" s="113"/>
      <c r="BB3" s="113" t="s">
        <v>24</v>
      </c>
      <c r="BC3" s="113"/>
      <c r="BD3" s="113" t="s">
        <v>25</v>
      </c>
      <c r="BE3" s="113"/>
      <c r="BF3" s="113" t="s">
        <v>26</v>
      </c>
      <c r="BG3" s="113"/>
      <c r="BH3" s="113" t="s">
        <v>27</v>
      </c>
      <c r="BI3" s="113"/>
      <c r="BJ3" s="113" t="s">
        <v>28</v>
      </c>
      <c r="BK3" s="113"/>
      <c r="BL3" s="100" t="s">
        <v>29</v>
      </c>
      <c r="BM3" s="100"/>
      <c r="BN3" s="113" t="s">
        <v>30</v>
      </c>
      <c r="BO3" s="113"/>
      <c r="BP3" s="113" t="s">
        <v>31</v>
      </c>
      <c r="BQ3" s="113"/>
    </row>
    <row r="4" spans="1:69" x14ac:dyDescent="0.25">
      <c r="A4" s="1"/>
      <c r="B4" s="23" t="s">
        <v>135</v>
      </c>
      <c r="C4" s="23" t="s">
        <v>136</v>
      </c>
      <c r="D4" s="23" t="s">
        <v>135</v>
      </c>
      <c r="E4" s="23" t="s">
        <v>136</v>
      </c>
      <c r="F4" s="23" t="s">
        <v>135</v>
      </c>
      <c r="G4" s="23" t="s">
        <v>136</v>
      </c>
      <c r="H4" s="23" t="s">
        <v>135</v>
      </c>
      <c r="I4" s="23" t="s">
        <v>136</v>
      </c>
      <c r="J4" s="23" t="s">
        <v>135</v>
      </c>
      <c r="K4" s="23" t="s">
        <v>136</v>
      </c>
      <c r="L4" s="23" t="s">
        <v>135</v>
      </c>
      <c r="M4" s="23" t="s">
        <v>136</v>
      </c>
      <c r="N4" s="23" t="s">
        <v>135</v>
      </c>
      <c r="O4" s="23" t="s">
        <v>136</v>
      </c>
      <c r="P4" s="23" t="s">
        <v>135</v>
      </c>
      <c r="Q4" s="23" t="s">
        <v>136</v>
      </c>
      <c r="R4" s="23" t="s">
        <v>135</v>
      </c>
      <c r="S4" s="23" t="s">
        <v>136</v>
      </c>
      <c r="T4" s="23" t="s">
        <v>135</v>
      </c>
      <c r="U4" s="23" t="s">
        <v>136</v>
      </c>
      <c r="V4" s="23" t="s">
        <v>135</v>
      </c>
      <c r="W4" s="23" t="s">
        <v>136</v>
      </c>
      <c r="X4" s="23" t="s">
        <v>135</v>
      </c>
      <c r="Y4" s="23" t="s">
        <v>136</v>
      </c>
      <c r="Z4" s="23" t="s">
        <v>135</v>
      </c>
      <c r="AA4" s="23" t="s">
        <v>136</v>
      </c>
      <c r="AB4" s="23" t="s">
        <v>135</v>
      </c>
      <c r="AC4" s="23" t="s">
        <v>136</v>
      </c>
      <c r="AD4" s="23" t="s">
        <v>135</v>
      </c>
      <c r="AE4" s="23" t="s">
        <v>136</v>
      </c>
      <c r="AF4" s="23" t="s">
        <v>135</v>
      </c>
      <c r="AG4" s="23" t="s">
        <v>136</v>
      </c>
      <c r="AH4" s="23" t="s">
        <v>135</v>
      </c>
      <c r="AI4" s="23" t="s">
        <v>136</v>
      </c>
      <c r="AJ4" s="23" t="s">
        <v>135</v>
      </c>
      <c r="AK4" s="23" t="s">
        <v>136</v>
      </c>
      <c r="AL4" s="23" t="s">
        <v>135</v>
      </c>
      <c r="AM4" s="23" t="s">
        <v>136</v>
      </c>
      <c r="AN4" s="23" t="s">
        <v>135</v>
      </c>
      <c r="AO4" s="23" t="s">
        <v>136</v>
      </c>
      <c r="AP4" s="23" t="s">
        <v>135</v>
      </c>
      <c r="AQ4" s="23" t="s">
        <v>136</v>
      </c>
      <c r="AR4" s="23" t="s">
        <v>135</v>
      </c>
      <c r="AS4" s="23" t="s">
        <v>136</v>
      </c>
      <c r="AT4" s="23" t="s">
        <v>135</v>
      </c>
      <c r="AU4" s="23" t="s">
        <v>136</v>
      </c>
      <c r="AV4" s="23" t="s">
        <v>135</v>
      </c>
      <c r="AW4" s="23" t="s">
        <v>136</v>
      </c>
      <c r="AX4" s="23" t="s">
        <v>135</v>
      </c>
      <c r="AY4" s="23" t="s">
        <v>136</v>
      </c>
      <c r="AZ4" s="23" t="s">
        <v>135</v>
      </c>
      <c r="BA4" s="23" t="s">
        <v>136</v>
      </c>
      <c r="BB4" s="23" t="s">
        <v>135</v>
      </c>
      <c r="BC4" s="23" t="s">
        <v>136</v>
      </c>
      <c r="BD4" s="23" t="s">
        <v>135</v>
      </c>
      <c r="BE4" s="23" t="s">
        <v>136</v>
      </c>
      <c r="BF4" s="23" t="s">
        <v>135</v>
      </c>
      <c r="BG4" s="23" t="s">
        <v>136</v>
      </c>
      <c r="BH4" s="23" t="s">
        <v>135</v>
      </c>
      <c r="BI4" s="23" t="s">
        <v>136</v>
      </c>
      <c r="BJ4" s="23" t="s">
        <v>135</v>
      </c>
      <c r="BK4" s="23" t="s">
        <v>136</v>
      </c>
      <c r="BL4" s="23" t="s">
        <v>135</v>
      </c>
      <c r="BM4" s="23" t="s">
        <v>136</v>
      </c>
      <c r="BN4" s="23" t="s">
        <v>135</v>
      </c>
      <c r="BO4" s="23" t="s">
        <v>136</v>
      </c>
      <c r="BP4" s="23" t="s">
        <v>135</v>
      </c>
      <c r="BQ4" s="23" t="s">
        <v>136</v>
      </c>
    </row>
    <row r="5" spans="1:69" x14ac:dyDescent="0.25">
      <c r="A5" s="11" t="s">
        <v>126</v>
      </c>
      <c r="B5" s="11"/>
      <c r="C5" s="11"/>
      <c r="D5" s="11">
        <v>24691</v>
      </c>
      <c r="E5" s="11">
        <v>3316</v>
      </c>
      <c r="F5" s="11"/>
      <c r="G5" s="11"/>
      <c r="H5" s="11">
        <v>589702</v>
      </c>
      <c r="I5" s="11">
        <v>48578</v>
      </c>
      <c r="J5" s="11">
        <v>60758</v>
      </c>
      <c r="K5" s="11">
        <v>4804</v>
      </c>
      <c r="L5" s="11">
        <v>9438</v>
      </c>
      <c r="M5" s="11">
        <v>1384</v>
      </c>
      <c r="N5" s="11">
        <v>1140</v>
      </c>
      <c r="O5" s="11">
        <v>117.06</v>
      </c>
      <c r="P5" s="11"/>
      <c r="Q5" s="11"/>
      <c r="R5" s="11">
        <v>139176</v>
      </c>
      <c r="S5" s="71">
        <v>13593.51</v>
      </c>
      <c r="T5" s="11">
        <v>235626</v>
      </c>
      <c r="U5" s="11">
        <v>8900</v>
      </c>
      <c r="V5" s="11">
        <v>127968</v>
      </c>
      <c r="W5" s="11">
        <v>15028.5</v>
      </c>
      <c r="X5" s="11">
        <v>283725</v>
      </c>
      <c r="Y5" s="11">
        <v>29413</v>
      </c>
      <c r="Z5" s="11">
        <v>256511</v>
      </c>
      <c r="AA5" s="11">
        <v>38910</v>
      </c>
      <c r="AB5" s="11">
        <v>611508</v>
      </c>
      <c r="AC5" s="11">
        <v>34927.910000000003</v>
      </c>
      <c r="AD5" s="11">
        <v>2013</v>
      </c>
      <c r="AE5" s="11">
        <v>240.9</v>
      </c>
      <c r="AF5" s="11">
        <v>27564</v>
      </c>
      <c r="AG5" s="11">
        <v>2437</v>
      </c>
      <c r="AH5" s="11">
        <v>16169</v>
      </c>
      <c r="AI5" s="11">
        <v>1609</v>
      </c>
      <c r="AJ5" s="11">
        <v>27709</v>
      </c>
      <c r="AK5" s="11">
        <v>4103</v>
      </c>
      <c r="AL5" s="11">
        <v>288365</v>
      </c>
      <c r="AM5" s="11">
        <v>11784</v>
      </c>
      <c r="AN5" s="11">
        <v>1627373</v>
      </c>
      <c r="AO5" s="11">
        <v>126693.4191934</v>
      </c>
      <c r="AP5" s="11">
        <v>8350</v>
      </c>
      <c r="AQ5" s="11">
        <v>140</v>
      </c>
      <c r="AR5" s="11">
        <v>2700380</v>
      </c>
      <c r="AS5" s="11">
        <v>223084</v>
      </c>
      <c r="AT5" s="11">
        <v>1188054</v>
      </c>
      <c r="AU5" s="11">
        <v>113388.13</v>
      </c>
      <c r="AV5" s="11">
        <v>4114</v>
      </c>
      <c r="AW5" s="11">
        <v>467.65062769999997</v>
      </c>
      <c r="AX5" s="11">
        <v>287938</v>
      </c>
      <c r="AY5" s="11">
        <v>27608</v>
      </c>
      <c r="AZ5" s="11">
        <v>114288</v>
      </c>
      <c r="BA5" s="11">
        <v>18811</v>
      </c>
      <c r="BB5" s="11">
        <v>78644</v>
      </c>
      <c r="BC5" s="11">
        <v>10764</v>
      </c>
      <c r="BD5" s="11">
        <v>38780</v>
      </c>
      <c r="BE5" s="11">
        <v>6275</v>
      </c>
      <c r="BF5" s="11">
        <v>356250</v>
      </c>
      <c r="BG5" s="11">
        <v>13886.03</v>
      </c>
      <c r="BH5" s="11">
        <v>946239</v>
      </c>
      <c r="BI5" s="11">
        <v>119924</v>
      </c>
      <c r="BJ5" s="11">
        <v>248689</v>
      </c>
      <c r="BK5" s="11">
        <v>37854</v>
      </c>
      <c r="BL5" s="39">
        <v>2503622</v>
      </c>
      <c r="BM5" s="39">
        <v>164840</v>
      </c>
      <c r="BN5" s="11">
        <v>15565</v>
      </c>
      <c r="BO5" s="11">
        <v>1999</v>
      </c>
      <c r="BP5" s="12">
        <f>B5+D5+F5+H5+J5+L5+N5+P5+R5+T5+V5+X5+Z5+AB5+AD5+AF5+AH5+AJ5+AL5+AN5+AP5+AR5+AT5+AV5+AX5+AZ5+BB5+BD5+BF5+BH5+BJ5+BL5+BN5</f>
        <v>12820349</v>
      </c>
      <c r="BQ5" s="12">
        <f>C5+E5+G5+I5+K5+M5+O5+Q5+S5+U5+W5+Y5+AA5+AC5+AE5+AG5+AI5+AK5+AM5+AO5+AQ5+AS5+AU5+AW5+AY5+BA5+BC5+BE5+BG5+BI5+BK5+BM5+BO5</f>
        <v>1084880.1098211</v>
      </c>
    </row>
    <row r="6" spans="1:69" x14ac:dyDescent="0.25">
      <c r="A6" s="11" t="s">
        <v>127</v>
      </c>
      <c r="B6" s="11">
        <v>1</v>
      </c>
      <c r="C6" s="11">
        <v>0</v>
      </c>
      <c r="D6" s="11">
        <v>97050</v>
      </c>
      <c r="E6" s="11">
        <v>9007</v>
      </c>
      <c r="F6" s="11"/>
      <c r="G6" s="11"/>
      <c r="H6" s="11">
        <v>1357562</v>
      </c>
      <c r="I6" s="11">
        <v>28192</v>
      </c>
      <c r="J6" s="11">
        <v>242628</v>
      </c>
      <c r="K6" s="11">
        <v>5178</v>
      </c>
      <c r="L6" s="11">
        <v>250100</v>
      </c>
      <c r="M6" s="11">
        <v>23686</v>
      </c>
      <c r="N6" s="11"/>
      <c r="O6" s="11"/>
      <c r="P6" s="11">
        <v>2</v>
      </c>
      <c r="Q6" s="11">
        <v>27.45</v>
      </c>
      <c r="R6" s="11">
        <v>219593</v>
      </c>
      <c r="S6" s="71">
        <v>3800.98</v>
      </c>
      <c r="T6" s="11">
        <v>4333</v>
      </c>
      <c r="U6" s="11">
        <v>68</v>
      </c>
      <c r="V6" s="11">
        <v>313746</v>
      </c>
      <c r="W6" s="11">
        <v>21702</v>
      </c>
      <c r="X6" s="11">
        <v>22338</v>
      </c>
      <c r="Y6" s="11">
        <v>6238</v>
      </c>
      <c r="Z6" s="11">
        <v>163714</v>
      </c>
      <c r="AA6" s="11">
        <v>19717</v>
      </c>
      <c r="AB6" s="11">
        <v>75532</v>
      </c>
      <c r="AC6" s="11">
        <v>2068.0100000000002</v>
      </c>
      <c r="AD6" s="11">
        <v>27436</v>
      </c>
      <c r="AE6" s="11">
        <v>3388.66</v>
      </c>
      <c r="AF6" s="11">
        <v>17</v>
      </c>
      <c r="AG6" s="11"/>
      <c r="AH6" s="11">
        <v>2425</v>
      </c>
      <c r="AI6" s="11">
        <v>32</v>
      </c>
      <c r="AJ6" s="11">
        <v>3594</v>
      </c>
      <c r="AK6" s="11">
        <v>2317</v>
      </c>
      <c r="AL6" s="11">
        <v>131891</v>
      </c>
      <c r="AM6" s="11">
        <v>6305</v>
      </c>
      <c r="AN6" s="11">
        <v>10663</v>
      </c>
      <c r="AO6" s="11">
        <v>628.19158890000006</v>
      </c>
      <c r="AP6" s="11"/>
      <c r="AQ6" s="11"/>
      <c r="AR6" s="11">
        <v>102956</v>
      </c>
      <c r="AS6" s="11">
        <v>6927</v>
      </c>
      <c r="AT6" s="11">
        <v>68820</v>
      </c>
      <c r="AU6" s="11">
        <v>6342.28</v>
      </c>
      <c r="AV6" s="11"/>
      <c r="AW6" s="11"/>
      <c r="AX6" s="11">
        <v>97617</v>
      </c>
      <c r="AY6" s="11">
        <v>5840</v>
      </c>
      <c r="AZ6" s="11">
        <v>26805</v>
      </c>
      <c r="BA6" s="11">
        <v>7520</v>
      </c>
      <c r="BB6" s="11">
        <v>9975</v>
      </c>
      <c r="BC6" s="11">
        <v>1317</v>
      </c>
      <c r="BD6" s="11">
        <v>489669</v>
      </c>
      <c r="BE6" s="11">
        <v>32012</v>
      </c>
      <c r="BF6" s="11">
        <v>5303</v>
      </c>
      <c r="BG6" s="11">
        <v>69.38</v>
      </c>
      <c r="BH6" s="11">
        <v>21933</v>
      </c>
      <c r="BI6" s="11">
        <v>2377</v>
      </c>
      <c r="BJ6" s="11">
        <v>379698</v>
      </c>
      <c r="BK6" s="11">
        <v>17570</v>
      </c>
      <c r="BL6" s="39">
        <v>103072</v>
      </c>
      <c r="BM6" s="39">
        <v>14265</v>
      </c>
      <c r="BN6" s="11">
        <v>121223</v>
      </c>
      <c r="BO6" s="11">
        <v>9966</v>
      </c>
      <c r="BP6" s="12">
        <f t="shared" ref="BP6:BP14" si="0">B6+D6+F6+H6+J6+L6+N6+P6+R6+T6+V6+X6+Z6+AB6+AD6+AF6+AH6+AJ6+AL6+AN6+AP6+AR6+AT6+AV6+AX6+AZ6+BB6+BD6+BF6+BH6+BJ6+BL6+BN6</f>
        <v>4349696</v>
      </c>
      <c r="BQ6" s="12">
        <f t="shared" ref="BQ6:BQ14" si="1">C6+E6+G6+I6+K6+M6+O6+Q6+S6+U6+W6+Y6+AA6+AC6+AE6+AG6+AI6+AK6+AM6+AO6+AQ6+AS6+AU6+AW6+AY6+BA6+BC6+BE6+BG6+BI6+BK6+BM6+BO6</f>
        <v>236560.95158889997</v>
      </c>
    </row>
    <row r="7" spans="1:69" x14ac:dyDescent="0.25">
      <c r="A7" s="11" t="s">
        <v>128</v>
      </c>
      <c r="B7" s="11">
        <v>17582</v>
      </c>
      <c r="C7" s="11">
        <v>572</v>
      </c>
      <c r="D7" s="11">
        <v>951</v>
      </c>
      <c r="E7" s="11">
        <v>2904</v>
      </c>
      <c r="F7" s="11"/>
      <c r="G7" s="11"/>
      <c r="H7" s="11">
        <v>295662</v>
      </c>
      <c r="I7" s="11">
        <v>8236</v>
      </c>
      <c r="J7" s="11">
        <v>104782</v>
      </c>
      <c r="K7" s="11">
        <v>600</v>
      </c>
      <c r="L7" s="11">
        <v>602153</v>
      </c>
      <c r="M7" s="11">
        <v>34198</v>
      </c>
      <c r="N7" s="11">
        <v>1438</v>
      </c>
      <c r="O7" s="11">
        <v>124.35</v>
      </c>
      <c r="P7" s="11"/>
      <c r="Q7" s="11"/>
      <c r="R7" s="11">
        <v>6675</v>
      </c>
      <c r="S7" s="71">
        <v>210.66</v>
      </c>
      <c r="T7" s="11">
        <v>20740</v>
      </c>
      <c r="U7" s="11">
        <v>1326</v>
      </c>
      <c r="V7" s="11">
        <v>58651</v>
      </c>
      <c r="W7" s="11">
        <v>5355.9</v>
      </c>
      <c r="X7" s="11">
        <v>807</v>
      </c>
      <c r="Y7" s="11">
        <v>526</v>
      </c>
      <c r="Z7" s="11">
        <v>42671</v>
      </c>
      <c r="AA7" s="11">
        <v>5704</v>
      </c>
      <c r="AB7" s="11">
        <v>153</v>
      </c>
      <c r="AC7" s="11">
        <v>14.65</v>
      </c>
      <c r="AD7" s="11">
        <v>14250</v>
      </c>
      <c r="AE7" s="11">
        <v>429.94</v>
      </c>
      <c r="AF7" s="11">
        <v>1402</v>
      </c>
      <c r="AG7" s="11">
        <v>185</v>
      </c>
      <c r="AH7" s="11">
        <v>29348</v>
      </c>
      <c r="AI7" s="11">
        <v>2652</v>
      </c>
      <c r="AJ7" s="11">
        <v>3752</v>
      </c>
      <c r="AK7" s="11">
        <v>474</v>
      </c>
      <c r="AL7" s="11">
        <v>1515</v>
      </c>
      <c r="AM7" s="11">
        <v>116</v>
      </c>
      <c r="AN7" s="11">
        <v>700642</v>
      </c>
      <c r="AO7" s="11">
        <v>7202.4854323</v>
      </c>
      <c r="AP7" s="11">
        <v>1477</v>
      </c>
      <c r="AQ7" s="11">
        <v>78</v>
      </c>
      <c r="AR7" s="11">
        <v>680431</v>
      </c>
      <c r="AS7" s="11">
        <v>40399</v>
      </c>
      <c r="AT7" s="11">
        <v>15151</v>
      </c>
      <c r="AU7" s="11">
        <v>563.21</v>
      </c>
      <c r="AV7" s="11"/>
      <c r="AW7" s="11"/>
      <c r="AX7" s="11">
        <v>25878</v>
      </c>
      <c r="AY7" s="11">
        <v>5360</v>
      </c>
      <c r="AZ7" s="11">
        <v>4487</v>
      </c>
      <c r="BA7" s="11">
        <v>676</v>
      </c>
      <c r="BB7" s="11">
        <v>37262</v>
      </c>
      <c r="BC7" s="11">
        <v>8279</v>
      </c>
      <c r="BD7" s="11">
        <v>14667</v>
      </c>
      <c r="BE7" s="11">
        <v>1102</v>
      </c>
      <c r="BF7" s="11">
        <v>192772</v>
      </c>
      <c r="BG7" s="11">
        <v>25325.14</v>
      </c>
      <c r="BH7" s="11">
        <v>3014</v>
      </c>
      <c r="BI7" s="11">
        <v>248</v>
      </c>
      <c r="BJ7" s="11">
        <v>93034</v>
      </c>
      <c r="BK7" s="11">
        <v>3431</v>
      </c>
      <c r="BL7" s="39">
        <v>7513</v>
      </c>
      <c r="BM7" s="39">
        <v>1542</v>
      </c>
      <c r="BN7" s="11">
        <v>244</v>
      </c>
      <c r="BO7" s="11">
        <v>80</v>
      </c>
      <c r="BP7" s="12">
        <f t="shared" si="0"/>
        <v>2979104</v>
      </c>
      <c r="BQ7" s="12">
        <f>C7+E7+G7+I7+K7+M7+O7+Q7+S7+U7+W7+Y7+AA7+AC7+AE7+AG7+AI7+AK7+AM7+AO7+AQ7+AS7+AU7+AW7+AY7+BA7+BC7+BE7+BG7+BI7+BK7+BM7+BO7</f>
        <v>157914.33543229999</v>
      </c>
    </row>
    <row r="8" spans="1:69" x14ac:dyDescent="0.25">
      <c r="A8" s="11" t="s">
        <v>129</v>
      </c>
      <c r="B8" s="11">
        <v>44198</v>
      </c>
      <c r="C8" s="11">
        <v>1377</v>
      </c>
      <c r="D8" s="11">
        <v>7525</v>
      </c>
      <c r="E8" s="11">
        <v>6920</v>
      </c>
      <c r="F8" s="11">
        <v>625333</v>
      </c>
      <c r="G8" s="71">
        <v>7386.17</v>
      </c>
      <c r="H8" s="11">
        <v>772202</v>
      </c>
      <c r="I8" s="11">
        <v>90687</v>
      </c>
      <c r="J8" s="11">
        <v>581935</v>
      </c>
      <c r="K8" s="11">
        <v>32219</v>
      </c>
      <c r="L8" s="11">
        <v>110874</v>
      </c>
      <c r="M8" s="11">
        <v>19033</v>
      </c>
      <c r="N8" s="11">
        <v>6480</v>
      </c>
      <c r="O8" s="11">
        <v>1954.92</v>
      </c>
      <c r="P8" s="11">
        <v>67</v>
      </c>
      <c r="Q8" s="11">
        <v>1689.68</v>
      </c>
      <c r="R8" s="11">
        <v>88684</v>
      </c>
      <c r="S8" s="78">
        <v>25222.29</v>
      </c>
      <c r="T8" s="11">
        <v>719047</v>
      </c>
      <c r="U8" s="11">
        <v>14479</v>
      </c>
      <c r="V8" s="11">
        <v>477268</v>
      </c>
      <c r="W8" s="11">
        <v>80821</v>
      </c>
      <c r="X8" s="11">
        <v>22289</v>
      </c>
      <c r="Y8" s="11">
        <v>2787</v>
      </c>
      <c r="Z8" s="11">
        <v>2089263</v>
      </c>
      <c r="AA8" s="11">
        <v>170848</v>
      </c>
      <c r="AB8" s="11">
        <v>172480</v>
      </c>
      <c r="AC8" s="11">
        <v>62583.53</v>
      </c>
      <c r="AD8" s="11">
        <v>26043</v>
      </c>
      <c r="AE8" s="11">
        <v>1891.33</v>
      </c>
      <c r="AF8" s="11">
        <v>248006</v>
      </c>
      <c r="AG8" s="11">
        <v>23937</v>
      </c>
      <c r="AH8" s="11">
        <v>67900</v>
      </c>
      <c r="AI8" s="11">
        <v>9434</v>
      </c>
      <c r="AJ8" s="11">
        <v>20583</v>
      </c>
      <c r="AK8" s="11">
        <v>4503</v>
      </c>
      <c r="AL8" s="11">
        <v>121879</v>
      </c>
      <c r="AM8" s="11">
        <v>6204</v>
      </c>
      <c r="AN8" s="11">
        <v>315473</v>
      </c>
      <c r="AO8" s="11">
        <v>80487.194245100007</v>
      </c>
      <c r="AP8" s="11">
        <v>10231</v>
      </c>
      <c r="AQ8" s="11">
        <v>302</v>
      </c>
      <c r="AR8" s="11">
        <v>236350</v>
      </c>
      <c r="AS8" s="11">
        <v>258571</v>
      </c>
      <c r="AT8" s="11">
        <v>157193</v>
      </c>
      <c r="AU8" s="11">
        <v>72458.25</v>
      </c>
      <c r="AV8" s="11">
        <v>8829</v>
      </c>
      <c r="AW8" s="11">
        <v>2643.958975</v>
      </c>
      <c r="AX8" s="11">
        <v>408225</v>
      </c>
      <c r="AY8" s="11">
        <v>69344</v>
      </c>
      <c r="AZ8" s="11">
        <v>56996</v>
      </c>
      <c r="BA8" s="11">
        <v>16020</v>
      </c>
      <c r="BB8" s="11">
        <v>155848</v>
      </c>
      <c r="BC8" s="11">
        <v>30047</v>
      </c>
      <c r="BD8" s="11">
        <v>82718</v>
      </c>
      <c r="BE8" s="11">
        <v>46420</v>
      </c>
      <c r="BF8" s="11">
        <v>67700</v>
      </c>
      <c r="BG8" s="11">
        <v>4659.8999999999996</v>
      </c>
      <c r="BH8" s="11">
        <v>29755</v>
      </c>
      <c r="BI8" s="11">
        <v>12467</v>
      </c>
      <c r="BJ8" s="11">
        <v>658364</v>
      </c>
      <c r="BK8" s="11">
        <v>86323</v>
      </c>
      <c r="BL8" s="39">
        <v>264957</v>
      </c>
      <c r="BM8" s="39">
        <v>85776</v>
      </c>
      <c r="BN8" s="11">
        <v>131798</v>
      </c>
      <c r="BO8" s="11">
        <v>22163</v>
      </c>
      <c r="BP8" s="12">
        <f t="shared" si="0"/>
        <v>8786493</v>
      </c>
      <c r="BQ8" s="12">
        <f>C8+E8+G8+I8+K8+M8+O8+Q8+S8+U8+W8+Y8+AA8+AC8+AE8+AG8+AI8+AK8+AM8+AO8+AQ8+AS8+AU8+AW8+AY8+BA8+BC8+BE8+BG8+BI8+BK8+BM8+BO8</f>
        <v>1351659.2232200997</v>
      </c>
    </row>
    <row r="9" spans="1:69" x14ac:dyDescent="0.25">
      <c r="A9" s="11" t="s">
        <v>130</v>
      </c>
      <c r="B9" s="11"/>
      <c r="C9" s="11"/>
      <c r="D9" s="11"/>
      <c r="E9" s="11"/>
      <c r="F9" s="11">
        <v>7753</v>
      </c>
      <c r="G9" s="71">
        <v>184.64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78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>
        <v>1372</v>
      </c>
      <c r="AE9" s="11">
        <v>7.96</v>
      </c>
      <c r="AF9" s="11"/>
      <c r="AG9" s="11"/>
      <c r="AH9" s="11"/>
      <c r="AI9" s="11"/>
      <c r="AJ9" s="11"/>
      <c r="AK9" s="11"/>
      <c r="AL9" s="11"/>
      <c r="AM9" s="11"/>
      <c r="AN9" s="11">
        <v>0</v>
      </c>
      <c r="AO9" s="11">
        <v>0</v>
      </c>
      <c r="AP9" s="11"/>
      <c r="AQ9" s="11"/>
      <c r="AR9" s="11">
        <v>32</v>
      </c>
      <c r="AS9" s="11">
        <v>2</v>
      </c>
      <c r="AT9" s="11"/>
      <c r="AU9" s="11"/>
      <c r="AV9" s="11"/>
      <c r="AW9" s="11"/>
      <c r="AX9" s="11"/>
      <c r="AY9" s="11"/>
      <c r="AZ9" s="11"/>
      <c r="BA9" s="11">
        <v>9</v>
      </c>
      <c r="BB9" s="11">
        <v>16</v>
      </c>
      <c r="BC9" s="11"/>
      <c r="BD9" s="11"/>
      <c r="BE9" s="11"/>
      <c r="BF9" s="11"/>
      <c r="BG9" s="11"/>
      <c r="BH9" s="11"/>
      <c r="BI9" s="11"/>
      <c r="BJ9" s="11"/>
      <c r="BK9" s="11"/>
      <c r="BL9" s="11">
        <v>0</v>
      </c>
      <c r="BM9" s="11">
        <v>0</v>
      </c>
      <c r="BN9" s="11"/>
      <c r="BO9" s="11"/>
      <c r="BP9" s="12">
        <f t="shared" si="0"/>
        <v>9173</v>
      </c>
      <c r="BQ9" s="12">
        <f t="shared" si="1"/>
        <v>203.6</v>
      </c>
    </row>
    <row r="10" spans="1:69" x14ac:dyDescent="0.25">
      <c r="A10" s="11" t="s">
        <v>131</v>
      </c>
      <c r="B10" s="11">
        <v>84431</v>
      </c>
      <c r="C10" s="11">
        <v>3611</v>
      </c>
      <c r="D10" s="11">
        <v>21831</v>
      </c>
      <c r="E10" s="11">
        <v>2413</v>
      </c>
      <c r="F10" s="11">
        <v>46588</v>
      </c>
      <c r="G10" s="71">
        <v>492.92</v>
      </c>
      <c r="H10" s="11">
        <v>485905</v>
      </c>
      <c r="I10" s="11">
        <v>46216</v>
      </c>
      <c r="J10" s="11">
        <v>120147</v>
      </c>
      <c r="K10" s="11">
        <v>8091</v>
      </c>
      <c r="L10" s="11">
        <v>26518</v>
      </c>
      <c r="M10" s="11">
        <v>7675</v>
      </c>
      <c r="N10" s="11">
        <v>4049</v>
      </c>
      <c r="O10" s="11">
        <v>522.17999999999995</v>
      </c>
      <c r="P10" s="11">
        <v>630</v>
      </c>
      <c r="Q10" s="11">
        <v>4539.8999999999996</v>
      </c>
      <c r="R10" s="11">
        <v>82494</v>
      </c>
      <c r="S10" s="78">
        <v>23104.81</v>
      </c>
      <c r="T10" s="11">
        <v>1018522</v>
      </c>
      <c r="U10" s="11">
        <v>15865</v>
      </c>
      <c r="V10" s="11">
        <v>149334</v>
      </c>
      <c r="W10" s="11">
        <v>20526.8</v>
      </c>
      <c r="X10" s="11">
        <v>44261</v>
      </c>
      <c r="Y10" s="11">
        <v>3913</v>
      </c>
      <c r="Z10" s="11">
        <v>294283</v>
      </c>
      <c r="AA10" s="11">
        <v>78064</v>
      </c>
      <c r="AB10" s="11">
        <v>92924</v>
      </c>
      <c r="AC10" s="11">
        <v>42658.06</v>
      </c>
      <c r="AD10" s="11">
        <v>221663</v>
      </c>
      <c r="AE10" s="11">
        <v>2371.5</v>
      </c>
      <c r="AF10" s="11">
        <v>16753</v>
      </c>
      <c r="AG10" s="11">
        <v>2166</v>
      </c>
      <c r="AH10" s="11">
        <v>18615</v>
      </c>
      <c r="AI10" s="11">
        <v>1357</v>
      </c>
      <c r="AJ10" s="11">
        <v>14035</v>
      </c>
      <c r="AK10" s="11">
        <v>2911</v>
      </c>
      <c r="AL10" s="11">
        <v>133852</v>
      </c>
      <c r="AM10" s="11">
        <v>6192</v>
      </c>
      <c r="AN10" s="11">
        <v>69776</v>
      </c>
      <c r="AO10" s="11">
        <v>50533.687867200002</v>
      </c>
      <c r="AP10" s="11">
        <v>4621</v>
      </c>
      <c r="AQ10" s="11">
        <v>234</v>
      </c>
      <c r="AR10" s="11">
        <v>2769757</v>
      </c>
      <c r="AS10" s="11">
        <v>191757</v>
      </c>
      <c r="AT10" s="11">
        <v>120769</v>
      </c>
      <c r="AU10" s="11">
        <v>84787</v>
      </c>
      <c r="AV10" s="11">
        <v>3372</v>
      </c>
      <c r="AW10" s="11">
        <v>501.4307933</v>
      </c>
      <c r="AX10" s="11">
        <v>105518</v>
      </c>
      <c r="AY10" s="11">
        <v>67809</v>
      </c>
      <c r="AZ10" s="11">
        <v>29397</v>
      </c>
      <c r="BA10" s="11">
        <v>5127</v>
      </c>
      <c r="BB10" s="11">
        <v>81719</v>
      </c>
      <c r="BC10" s="11">
        <v>8037</v>
      </c>
      <c r="BD10" s="11">
        <v>45819</v>
      </c>
      <c r="BE10" s="11">
        <v>34657</v>
      </c>
      <c r="BF10" s="11">
        <v>28637</v>
      </c>
      <c r="BG10" s="11">
        <v>1290.43</v>
      </c>
      <c r="BH10" s="11">
        <v>115653</v>
      </c>
      <c r="BI10" s="11">
        <v>14490</v>
      </c>
      <c r="BJ10" s="11">
        <v>138224</v>
      </c>
      <c r="BK10" s="11">
        <v>25141</v>
      </c>
      <c r="BL10" s="11">
        <v>122391</v>
      </c>
      <c r="BM10" s="11">
        <v>118108</v>
      </c>
      <c r="BN10" s="11">
        <v>36316</v>
      </c>
      <c r="BO10" s="11">
        <v>7654</v>
      </c>
      <c r="BP10" s="12">
        <f t="shared" si="0"/>
        <v>6548804</v>
      </c>
      <c r="BQ10" s="12">
        <f t="shared" si="1"/>
        <v>882816.71866050002</v>
      </c>
    </row>
    <row r="11" spans="1:69" x14ac:dyDescent="0.25">
      <c r="A11" s="11" t="s">
        <v>42</v>
      </c>
      <c r="B11" s="11">
        <f>B12-B10-B9-B8-B7-B6-B5</f>
        <v>612</v>
      </c>
      <c r="C11" s="11">
        <f t="shared" ref="C11:BL11" si="2">C12-C10-C9-C8-C7-C6-C5</f>
        <v>62</v>
      </c>
      <c r="D11" s="11">
        <f t="shared" si="2"/>
        <v>0</v>
      </c>
      <c r="E11" s="11">
        <f t="shared" si="2"/>
        <v>0</v>
      </c>
      <c r="F11" s="11">
        <f t="shared" si="2"/>
        <v>632107</v>
      </c>
      <c r="G11" s="71">
        <f t="shared" si="2"/>
        <v>24897.86</v>
      </c>
      <c r="H11" s="11">
        <f t="shared" si="2"/>
        <v>161287</v>
      </c>
      <c r="I11" s="11">
        <f>I12-I10-I9-I8-I7-I6-I5</f>
        <v>4744</v>
      </c>
      <c r="J11" s="11">
        <f t="shared" si="2"/>
        <v>0</v>
      </c>
      <c r="K11" s="11">
        <f t="shared" si="2"/>
        <v>0</v>
      </c>
      <c r="L11" s="11">
        <f t="shared" si="2"/>
        <v>0</v>
      </c>
      <c r="M11" s="11">
        <f t="shared" si="2"/>
        <v>1</v>
      </c>
      <c r="N11" s="11">
        <f t="shared" si="2"/>
        <v>13290</v>
      </c>
      <c r="O11" s="11">
        <f t="shared" si="2"/>
        <v>931.39000000000033</v>
      </c>
      <c r="P11" s="11">
        <f t="shared" si="2"/>
        <v>0</v>
      </c>
      <c r="Q11" s="11">
        <f t="shared" si="2"/>
        <v>-2.9999999999699156E-2</v>
      </c>
      <c r="R11" s="11">
        <f t="shared" si="2"/>
        <v>15551</v>
      </c>
      <c r="S11" s="78">
        <f t="shared" si="2"/>
        <v>1315.2800000000007</v>
      </c>
      <c r="T11" s="11">
        <f t="shared" si="2"/>
        <v>0</v>
      </c>
      <c r="U11" s="11">
        <f t="shared" si="2"/>
        <v>0</v>
      </c>
      <c r="V11" s="11">
        <f t="shared" si="2"/>
        <v>255168</v>
      </c>
      <c r="W11" s="11">
        <f t="shared" si="2"/>
        <v>10423.700000000004</v>
      </c>
      <c r="X11" s="11">
        <f t="shared" si="2"/>
        <v>22113</v>
      </c>
      <c r="Y11" s="11">
        <f t="shared" si="2"/>
        <v>1704</v>
      </c>
      <c r="Z11" s="11">
        <f t="shared" si="2"/>
        <v>766866</v>
      </c>
      <c r="AA11" s="11">
        <f t="shared" si="2"/>
        <v>16978</v>
      </c>
      <c r="AB11" s="11">
        <f t="shared" si="2"/>
        <v>570796</v>
      </c>
      <c r="AC11" s="11">
        <f t="shared" si="2"/>
        <v>31195.58</v>
      </c>
      <c r="AD11" s="11">
        <f t="shared" si="2"/>
        <v>46858</v>
      </c>
      <c r="AE11" s="11">
        <f t="shared" si="2"/>
        <v>1412.44</v>
      </c>
      <c r="AF11" s="11">
        <f t="shared" si="2"/>
        <v>112802</v>
      </c>
      <c r="AG11" s="11">
        <f t="shared" si="2"/>
        <v>3230</v>
      </c>
      <c r="AH11" s="11">
        <f t="shared" si="2"/>
        <v>117004</v>
      </c>
      <c r="AI11" s="11">
        <f t="shared" si="2"/>
        <v>6294</v>
      </c>
      <c r="AJ11" s="11">
        <f t="shared" si="2"/>
        <v>0</v>
      </c>
      <c r="AK11" s="11">
        <f t="shared" si="2"/>
        <v>-1</v>
      </c>
      <c r="AL11" s="11">
        <f t="shared" si="2"/>
        <v>0</v>
      </c>
      <c r="AM11" s="11">
        <f t="shared" si="2"/>
        <v>1</v>
      </c>
      <c r="AN11" s="11">
        <f t="shared" si="2"/>
        <v>125237</v>
      </c>
      <c r="AO11" s="11">
        <f t="shared" si="2"/>
        <v>3064.6708813999721</v>
      </c>
      <c r="AP11" s="11">
        <f t="shared" si="2"/>
        <v>5436</v>
      </c>
      <c r="AQ11" s="11">
        <f t="shared" si="2"/>
        <v>303</v>
      </c>
      <c r="AR11" s="11">
        <f t="shared" si="2"/>
        <v>0</v>
      </c>
      <c r="AS11" s="11">
        <f t="shared" si="2"/>
        <v>0</v>
      </c>
      <c r="AT11" s="11">
        <f t="shared" si="2"/>
        <v>151587</v>
      </c>
      <c r="AU11" s="11">
        <f t="shared" si="2"/>
        <v>4700.1299999999901</v>
      </c>
      <c r="AV11" s="11">
        <f t="shared" si="2"/>
        <v>0</v>
      </c>
      <c r="AW11" s="11">
        <f t="shared" si="2"/>
        <v>-3.9600000002337765E-4</v>
      </c>
      <c r="AX11" s="11">
        <f t="shared" si="2"/>
        <v>174668</v>
      </c>
      <c r="AY11" s="11">
        <f t="shared" si="2"/>
        <v>9229</v>
      </c>
      <c r="AZ11" s="11">
        <f t="shared" si="2"/>
        <v>0</v>
      </c>
      <c r="BA11" s="11">
        <f t="shared" si="2"/>
        <v>0</v>
      </c>
      <c r="BB11" s="11">
        <f t="shared" si="2"/>
        <v>0</v>
      </c>
      <c r="BC11" s="11">
        <f t="shared" si="2"/>
        <v>0</v>
      </c>
      <c r="BD11" s="11">
        <f t="shared" si="2"/>
        <v>0</v>
      </c>
      <c r="BE11" s="11">
        <f t="shared" si="2"/>
        <v>-0.77999999999883585</v>
      </c>
      <c r="BF11" s="11">
        <f t="shared" si="2"/>
        <v>46131</v>
      </c>
      <c r="BG11" s="11">
        <f t="shared" si="2"/>
        <v>493.33269999999538</v>
      </c>
      <c r="BH11" s="11">
        <f t="shared" si="2"/>
        <v>22569</v>
      </c>
      <c r="BI11" s="11">
        <f t="shared" si="2"/>
        <v>4360</v>
      </c>
      <c r="BJ11" s="11">
        <f t="shared" si="2"/>
        <v>110708</v>
      </c>
      <c r="BK11" s="11">
        <f t="shared" si="2"/>
        <v>9578</v>
      </c>
      <c r="BL11" s="11">
        <f t="shared" si="2"/>
        <v>14223</v>
      </c>
      <c r="BM11" s="11">
        <f t="shared" ref="BM11:BO11" si="3">BM12-BM10-BM9-BM8-BM7-BM6-BM5</f>
        <v>12445</v>
      </c>
      <c r="BN11" s="11">
        <f t="shared" si="3"/>
        <v>0</v>
      </c>
      <c r="BO11" s="11">
        <f t="shared" si="3"/>
        <v>0</v>
      </c>
      <c r="BP11" s="12">
        <f t="shared" si="0"/>
        <v>3365013</v>
      </c>
      <c r="BQ11" s="12">
        <f t="shared" si="1"/>
        <v>147361.57318539996</v>
      </c>
    </row>
    <row r="12" spans="1:69" s="9" customFormat="1" x14ac:dyDescent="0.25">
      <c r="A12" s="12" t="s">
        <v>132</v>
      </c>
      <c r="B12" s="12">
        <v>146824</v>
      </c>
      <c r="C12" s="12">
        <v>5622</v>
      </c>
      <c r="D12" s="12">
        <v>152048</v>
      </c>
      <c r="E12" s="12">
        <v>24560</v>
      </c>
      <c r="F12" s="12">
        <v>1311781</v>
      </c>
      <c r="G12" s="42">
        <v>32961.589999999997</v>
      </c>
      <c r="H12" s="12">
        <v>3662320</v>
      </c>
      <c r="I12" s="12">
        <v>226653</v>
      </c>
      <c r="J12" s="12">
        <v>1110250</v>
      </c>
      <c r="K12" s="12">
        <v>50892</v>
      </c>
      <c r="L12" s="12">
        <v>999083</v>
      </c>
      <c r="M12" s="12">
        <v>85977</v>
      </c>
      <c r="N12" s="12">
        <v>26397</v>
      </c>
      <c r="O12" s="12">
        <v>3649.9</v>
      </c>
      <c r="P12" s="12">
        <v>699</v>
      </c>
      <c r="Q12" s="12">
        <v>6257</v>
      </c>
      <c r="R12" s="12">
        <v>552173</v>
      </c>
      <c r="S12" s="12">
        <v>67247.53</v>
      </c>
      <c r="T12" s="12">
        <v>1998268</v>
      </c>
      <c r="U12" s="12">
        <v>40638</v>
      </c>
      <c r="V12" s="12">
        <v>1382135</v>
      </c>
      <c r="W12" s="12">
        <v>153857.9</v>
      </c>
      <c r="X12" s="12">
        <v>395533</v>
      </c>
      <c r="Y12" s="12">
        <v>44581</v>
      </c>
      <c r="Z12" s="12">
        <v>3613308</v>
      </c>
      <c r="AA12" s="12">
        <v>330221</v>
      </c>
      <c r="AB12" s="12">
        <v>1523393</v>
      </c>
      <c r="AC12" s="12">
        <v>173447.74</v>
      </c>
      <c r="AD12" s="12">
        <v>339635</v>
      </c>
      <c r="AE12" s="12">
        <v>9742.73</v>
      </c>
      <c r="AF12" s="12">
        <v>406544</v>
      </c>
      <c r="AG12" s="12">
        <v>31955</v>
      </c>
      <c r="AH12" s="12">
        <v>251461</v>
      </c>
      <c r="AI12" s="12">
        <v>21378</v>
      </c>
      <c r="AJ12" s="12">
        <v>69673</v>
      </c>
      <c r="AK12" s="12">
        <v>14307</v>
      </c>
      <c r="AL12" s="12">
        <v>677502</v>
      </c>
      <c r="AM12" s="12">
        <v>30602</v>
      </c>
      <c r="AN12" s="12">
        <v>2849164</v>
      </c>
      <c r="AO12" s="12">
        <v>268609.64920829999</v>
      </c>
      <c r="AP12" s="12">
        <v>30115</v>
      </c>
      <c r="AQ12" s="12">
        <v>1057</v>
      </c>
      <c r="AR12" s="12">
        <v>6489906</v>
      </c>
      <c r="AS12" s="12">
        <v>720740</v>
      </c>
      <c r="AT12" s="12">
        <v>1701574</v>
      </c>
      <c r="AU12" s="12">
        <v>282239</v>
      </c>
      <c r="AV12" s="12">
        <v>16315</v>
      </c>
      <c r="AW12" s="12">
        <v>3613.04</v>
      </c>
      <c r="AX12" s="12">
        <v>1099844</v>
      </c>
      <c r="AY12" s="12">
        <v>185190</v>
      </c>
      <c r="AZ12" s="12">
        <v>231973</v>
      </c>
      <c r="BA12" s="12">
        <v>48163</v>
      </c>
      <c r="BB12" s="12">
        <v>363464</v>
      </c>
      <c r="BC12" s="12">
        <v>58444</v>
      </c>
      <c r="BD12" s="12">
        <v>671653</v>
      </c>
      <c r="BE12" s="12">
        <v>120465.22</v>
      </c>
      <c r="BF12" s="12">
        <v>696793</v>
      </c>
      <c r="BG12" s="12">
        <v>45724.212699999996</v>
      </c>
      <c r="BH12" s="12">
        <v>1139163</v>
      </c>
      <c r="BI12" s="12">
        <v>153866</v>
      </c>
      <c r="BJ12" s="12">
        <v>1628717</v>
      </c>
      <c r="BK12" s="12">
        <v>179897</v>
      </c>
      <c r="BL12" s="12">
        <v>3015778</v>
      </c>
      <c r="BM12" s="12">
        <v>396976</v>
      </c>
      <c r="BN12" s="12">
        <v>305146</v>
      </c>
      <c r="BO12" s="12">
        <v>41862</v>
      </c>
      <c r="BP12" s="12">
        <f t="shared" si="0"/>
        <v>38858632</v>
      </c>
      <c r="BQ12" s="12">
        <f t="shared" si="1"/>
        <v>3861396.5119083002</v>
      </c>
    </row>
    <row r="13" spans="1:69" x14ac:dyDescent="0.25">
      <c r="A13" s="11" t="s">
        <v>133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78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>
        <v>274</v>
      </c>
      <c r="BE13" s="11">
        <v>52</v>
      </c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2">
        <f t="shared" si="0"/>
        <v>274</v>
      </c>
      <c r="BQ13" s="12">
        <f t="shared" si="1"/>
        <v>52</v>
      </c>
    </row>
    <row r="14" spans="1:69" s="9" customFormat="1" x14ac:dyDescent="0.25">
      <c r="A14" s="12" t="s">
        <v>134</v>
      </c>
      <c r="B14" s="12">
        <f>B12+B13</f>
        <v>146824</v>
      </c>
      <c r="C14" s="12">
        <f t="shared" ref="C14:BL14" si="4">C12+C13</f>
        <v>5622</v>
      </c>
      <c r="D14" s="12">
        <f t="shared" si="4"/>
        <v>152048</v>
      </c>
      <c r="E14" s="12">
        <f t="shared" si="4"/>
        <v>24560</v>
      </c>
      <c r="F14" s="12">
        <f t="shared" si="4"/>
        <v>1311781</v>
      </c>
      <c r="G14" s="12">
        <f t="shared" si="4"/>
        <v>32961.589999999997</v>
      </c>
      <c r="H14" s="12">
        <f t="shared" si="4"/>
        <v>3662320</v>
      </c>
      <c r="I14" s="12">
        <f t="shared" si="4"/>
        <v>226653</v>
      </c>
      <c r="J14" s="12">
        <f t="shared" si="4"/>
        <v>1110250</v>
      </c>
      <c r="K14" s="12">
        <f t="shared" si="4"/>
        <v>50892</v>
      </c>
      <c r="L14" s="12">
        <f t="shared" si="4"/>
        <v>999083</v>
      </c>
      <c r="M14" s="12">
        <f t="shared" si="4"/>
        <v>85977</v>
      </c>
      <c r="N14" s="12">
        <f t="shared" si="4"/>
        <v>26397</v>
      </c>
      <c r="O14" s="12">
        <f t="shared" si="4"/>
        <v>3649.9</v>
      </c>
      <c r="P14" s="12">
        <f t="shared" si="4"/>
        <v>699</v>
      </c>
      <c r="Q14" s="12">
        <f t="shared" si="4"/>
        <v>6257</v>
      </c>
      <c r="R14" s="12">
        <f t="shared" si="4"/>
        <v>552173</v>
      </c>
      <c r="S14" s="12">
        <f t="shared" si="4"/>
        <v>67247.53</v>
      </c>
      <c r="T14" s="12">
        <f t="shared" si="4"/>
        <v>1998268</v>
      </c>
      <c r="U14" s="12">
        <f t="shared" si="4"/>
        <v>40638</v>
      </c>
      <c r="V14" s="12">
        <f t="shared" si="4"/>
        <v>1382135</v>
      </c>
      <c r="W14" s="12">
        <f t="shared" si="4"/>
        <v>153857.9</v>
      </c>
      <c r="X14" s="12">
        <f t="shared" si="4"/>
        <v>395533</v>
      </c>
      <c r="Y14" s="12">
        <f t="shared" si="4"/>
        <v>44581</v>
      </c>
      <c r="Z14" s="12">
        <f t="shared" si="4"/>
        <v>3613308</v>
      </c>
      <c r="AA14" s="12">
        <f t="shared" si="4"/>
        <v>330221</v>
      </c>
      <c r="AB14" s="12">
        <f t="shared" si="4"/>
        <v>1523393</v>
      </c>
      <c r="AC14" s="12">
        <f t="shared" si="4"/>
        <v>173447.74</v>
      </c>
      <c r="AD14" s="12">
        <f t="shared" si="4"/>
        <v>339635</v>
      </c>
      <c r="AE14" s="12">
        <f t="shared" si="4"/>
        <v>9742.73</v>
      </c>
      <c r="AF14" s="12">
        <f t="shared" si="4"/>
        <v>406544</v>
      </c>
      <c r="AG14" s="12">
        <f t="shared" si="4"/>
        <v>31955</v>
      </c>
      <c r="AH14" s="12">
        <f t="shared" si="4"/>
        <v>251461</v>
      </c>
      <c r="AI14" s="12">
        <f t="shared" si="4"/>
        <v>21378</v>
      </c>
      <c r="AJ14" s="12">
        <f t="shared" si="4"/>
        <v>69673</v>
      </c>
      <c r="AK14" s="12">
        <f t="shared" si="4"/>
        <v>14307</v>
      </c>
      <c r="AL14" s="12">
        <f t="shared" si="4"/>
        <v>677502</v>
      </c>
      <c r="AM14" s="12">
        <f t="shared" si="4"/>
        <v>30602</v>
      </c>
      <c r="AN14" s="12">
        <f t="shared" si="4"/>
        <v>2849164</v>
      </c>
      <c r="AO14" s="12">
        <f t="shared" si="4"/>
        <v>268609.64920829999</v>
      </c>
      <c r="AP14" s="12">
        <f t="shared" si="4"/>
        <v>30115</v>
      </c>
      <c r="AQ14" s="12">
        <f t="shared" si="4"/>
        <v>1057</v>
      </c>
      <c r="AR14" s="12">
        <f t="shared" si="4"/>
        <v>6489906</v>
      </c>
      <c r="AS14" s="12">
        <f t="shared" si="4"/>
        <v>720740</v>
      </c>
      <c r="AT14" s="12">
        <f t="shared" si="4"/>
        <v>1701574</v>
      </c>
      <c r="AU14" s="12">
        <f t="shared" si="4"/>
        <v>282239</v>
      </c>
      <c r="AV14" s="12">
        <f t="shared" si="4"/>
        <v>16315</v>
      </c>
      <c r="AW14" s="12">
        <f t="shared" si="4"/>
        <v>3613.04</v>
      </c>
      <c r="AX14" s="12">
        <f t="shared" si="4"/>
        <v>1099844</v>
      </c>
      <c r="AY14" s="12">
        <f t="shared" si="4"/>
        <v>185190</v>
      </c>
      <c r="AZ14" s="12">
        <f t="shared" si="4"/>
        <v>231973</v>
      </c>
      <c r="BA14" s="12">
        <f t="shared" si="4"/>
        <v>48163</v>
      </c>
      <c r="BB14" s="12">
        <f t="shared" si="4"/>
        <v>363464</v>
      </c>
      <c r="BC14" s="12">
        <f t="shared" si="4"/>
        <v>58444</v>
      </c>
      <c r="BD14" s="12">
        <f t="shared" si="4"/>
        <v>671927</v>
      </c>
      <c r="BE14" s="12">
        <f t="shared" si="4"/>
        <v>120517.22</v>
      </c>
      <c r="BF14" s="12">
        <f t="shared" si="4"/>
        <v>696793</v>
      </c>
      <c r="BG14" s="12">
        <f t="shared" si="4"/>
        <v>45724.212699999996</v>
      </c>
      <c r="BH14" s="12">
        <f t="shared" si="4"/>
        <v>1139163</v>
      </c>
      <c r="BI14" s="12">
        <f t="shared" si="4"/>
        <v>153866</v>
      </c>
      <c r="BJ14" s="12">
        <f t="shared" si="4"/>
        <v>1628717</v>
      </c>
      <c r="BK14" s="12">
        <f t="shared" si="4"/>
        <v>179897</v>
      </c>
      <c r="BL14" s="12">
        <f t="shared" si="4"/>
        <v>3015778</v>
      </c>
      <c r="BM14" s="12">
        <f t="shared" ref="BM14:BO14" si="5">BM12+BM13</f>
        <v>396976</v>
      </c>
      <c r="BN14" s="12">
        <f t="shared" si="5"/>
        <v>305146</v>
      </c>
      <c r="BO14" s="12">
        <f t="shared" si="5"/>
        <v>41862</v>
      </c>
      <c r="BP14" s="12">
        <f t="shared" si="0"/>
        <v>38858906</v>
      </c>
      <c r="BQ14" s="12">
        <f t="shared" si="1"/>
        <v>3861448.5119083002</v>
      </c>
    </row>
  </sheetData>
  <mergeCells count="34">
    <mergeCell ref="X3:Y3"/>
    <mergeCell ref="AJ3:AK3"/>
    <mergeCell ref="AP3:AQ3"/>
    <mergeCell ref="AN3:AO3"/>
    <mergeCell ref="AR3:AS3"/>
    <mergeCell ref="AF3:AG3"/>
    <mergeCell ref="AH3:AI3"/>
    <mergeCell ref="AL3:AM3"/>
    <mergeCell ref="AV3:AW3"/>
    <mergeCell ref="AX3:AY3"/>
    <mergeCell ref="AZ3:BA3"/>
    <mergeCell ref="BB3:BC3"/>
    <mergeCell ref="BD3:BE3"/>
    <mergeCell ref="L3:M3"/>
    <mergeCell ref="N3:O3"/>
    <mergeCell ref="P3:Q3"/>
    <mergeCell ref="BP3:BQ3"/>
    <mergeCell ref="BN3:BO3"/>
    <mergeCell ref="BL3:BM3"/>
    <mergeCell ref="BJ3:BK3"/>
    <mergeCell ref="BH3:BI3"/>
    <mergeCell ref="AT3:AU3"/>
    <mergeCell ref="R3:S3"/>
    <mergeCell ref="T3:U3"/>
    <mergeCell ref="V3:W3"/>
    <mergeCell ref="Z3:AA3"/>
    <mergeCell ref="AB3:AC3"/>
    <mergeCell ref="AD3:AE3"/>
    <mergeCell ref="BF3:BG3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8" customWidth="1"/>
    <col min="2" max="34" width="16" style="8" customWidth="1"/>
    <col min="35" max="35" width="16" style="9" customWidth="1"/>
    <col min="36" max="16384" width="9.140625" style="8"/>
  </cols>
  <sheetData>
    <row r="1" spans="1:35" ht="18.75" x14ac:dyDescent="0.3">
      <c r="A1" s="18" t="s">
        <v>296</v>
      </c>
    </row>
    <row r="2" spans="1:35" x14ac:dyDescent="0.25">
      <c r="A2" s="7" t="s">
        <v>44</v>
      </c>
    </row>
    <row r="3" spans="1:35" x14ac:dyDescent="0.25">
      <c r="A3" s="4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8</v>
      </c>
      <c r="J3" s="73" t="s">
        <v>9</v>
      </c>
      <c r="K3" s="73" t="s">
        <v>10</v>
      </c>
      <c r="L3" s="73" t="s">
        <v>11</v>
      </c>
      <c r="M3" s="73" t="s">
        <v>293</v>
      </c>
      <c r="N3" s="73" t="s">
        <v>12</v>
      </c>
      <c r="O3" s="73" t="s">
        <v>13</v>
      </c>
      <c r="P3" s="73" t="s">
        <v>14</v>
      </c>
      <c r="Q3" s="73" t="s">
        <v>15</v>
      </c>
      <c r="R3" s="73" t="s">
        <v>16</v>
      </c>
      <c r="S3" s="73" t="s">
        <v>295</v>
      </c>
      <c r="T3" s="73" t="s">
        <v>17</v>
      </c>
      <c r="U3" s="73" t="s">
        <v>18</v>
      </c>
      <c r="V3" s="73" t="s">
        <v>294</v>
      </c>
      <c r="W3" s="73" t="s">
        <v>19</v>
      </c>
      <c r="X3" s="73" t="s">
        <v>20</v>
      </c>
      <c r="Y3" s="73" t="s">
        <v>306</v>
      </c>
      <c r="Z3" s="73" t="s">
        <v>22</v>
      </c>
      <c r="AA3" s="73" t="s">
        <v>23</v>
      </c>
      <c r="AB3" s="73" t="s">
        <v>24</v>
      </c>
      <c r="AC3" s="73" t="s">
        <v>25</v>
      </c>
      <c r="AD3" s="73" t="s">
        <v>26</v>
      </c>
      <c r="AE3" s="73" t="s">
        <v>27</v>
      </c>
      <c r="AF3" s="73" t="s">
        <v>28</v>
      </c>
      <c r="AG3" s="72" t="s">
        <v>29</v>
      </c>
      <c r="AH3" s="73" t="s">
        <v>30</v>
      </c>
      <c r="AI3" s="93" t="s">
        <v>31</v>
      </c>
    </row>
    <row r="4" spans="1:35" x14ac:dyDescent="0.25">
      <c r="A4" s="4" t="s">
        <v>265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2"/>
    </row>
    <row r="5" spans="1:35" x14ac:dyDescent="0.25">
      <c r="A5" s="3" t="s">
        <v>266</v>
      </c>
      <c r="B5" s="11"/>
      <c r="C5" s="11"/>
      <c r="D5" s="11"/>
      <c r="E5" s="11">
        <v>178950</v>
      </c>
      <c r="F5" s="11">
        <v>-134038</v>
      </c>
      <c r="G5" s="11">
        <v>95380</v>
      </c>
      <c r="H5" s="11">
        <v>-5503</v>
      </c>
      <c r="I5" s="11"/>
      <c r="J5" s="11">
        <v>-66209</v>
      </c>
      <c r="K5" s="11">
        <v>-48033</v>
      </c>
      <c r="L5" s="11">
        <v>-476045</v>
      </c>
      <c r="M5" s="11"/>
      <c r="N5" s="11">
        <v>84991</v>
      </c>
      <c r="O5" s="11">
        <v>136512</v>
      </c>
      <c r="P5" s="11">
        <v>6677</v>
      </c>
      <c r="Q5" s="11">
        <v>17316</v>
      </c>
      <c r="R5" s="11">
        <v>-123433</v>
      </c>
      <c r="S5" s="11"/>
      <c r="T5" s="11"/>
      <c r="U5" s="11">
        <v>-251347.77741090581</v>
      </c>
      <c r="V5" s="11">
        <v>-2886</v>
      </c>
      <c r="W5" s="39">
        <v>-4419396</v>
      </c>
      <c r="X5" s="11">
        <v>-1634146</v>
      </c>
      <c r="Y5" s="11">
        <v>-780</v>
      </c>
      <c r="Z5" s="11">
        <v>-456267</v>
      </c>
      <c r="AA5" s="11"/>
      <c r="AB5" s="11">
        <v>-52996</v>
      </c>
      <c r="AC5" s="11">
        <v>220031</v>
      </c>
      <c r="AD5" s="39">
        <v>-57059</v>
      </c>
      <c r="AE5" s="11"/>
      <c r="AF5" s="11">
        <v>-87217</v>
      </c>
      <c r="AG5" s="11">
        <v>-982446</v>
      </c>
      <c r="AH5" s="11">
        <v>-58799</v>
      </c>
      <c r="AI5" s="12">
        <f>SUM(B5:AH5)</f>
        <v>-8116743.7774109058</v>
      </c>
    </row>
    <row r="6" spans="1:35" x14ac:dyDescent="0.25">
      <c r="A6" s="3" t="s">
        <v>267</v>
      </c>
      <c r="B6" s="11"/>
      <c r="C6" s="11"/>
      <c r="D6" s="11"/>
      <c r="E6" s="11">
        <v>27308</v>
      </c>
      <c r="F6" s="11">
        <v>-17336</v>
      </c>
      <c r="G6" s="11">
        <v>24113</v>
      </c>
      <c r="H6" s="11">
        <v>-192</v>
      </c>
      <c r="I6" s="11"/>
      <c r="J6" s="11">
        <v>-14446</v>
      </c>
      <c r="K6" s="11">
        <v>-4084</v>
      </c>
      <c r="L6" s="11">
        <v>-110860</v>
      </c>
      <c r="M6" s="11"/>
      <c r="N6" s="11">
        <v>-91300</v>
      </c>
      <c r="O6" s="11">
        <v>66170</v>
      </c>
      <c r="P6" s="11"/>
      <c r="Q6" s="11">
        <v>19213</v>
      </c>
      <c r="R6" s="11">
        <v>-7625</v>
      </c>
      <c r="S6" s="11"/>
      <c r="T6" s="11"/>
      <c r="U6" s="11">
        <v>-85707.683426160831</v>
      </c>
      <c r="V6" s="11"/>
      <c r="W6" s="39">
        <v>238790</v>
      </c>
      <c r="X6" s="11">
        <v>36749</v>
      </c>
      <c r="Y6" s="11">
        <v>-56</v>
      </c>
      <c r="Z6" s="11">
        <v>11972</v>
      </c>
      <c r="AA6" s="11"/>
      <c r="AB6" s="11">
        <v>9024</v>
      </c>
      <c r="AC6" s="11">
        <v>-47023</v>
      </c>
      <c r="AD6" s="39">
        <v>2840</v>
      </c>
      <c r="AE6" s="11"/>
      <c r="AF6" s="11">
        <v>72724</v>
      </c>
      <c r="AG6" s="11">
        <v>204973</v>
      </c>
      <c r="AH6" s="11">
        <v>9795</v>
      </c>
      <c r="AI6" s="12">
        <f>SUM(B6:AH6)</f>
        <v>345041.31657383917</v>
      </c>
    </row>
    <row r="7" spans="1:35" x14ac:dyDescent="0.25">
      <c r="A7" s="3" t="s">
        <v>268</v>
      </c>
      <c r="B7" s="11">
        <v>-169344</v>
      </c>
      <c r="C7" s="11">
        <v>-623392</v>
      </c>
      <c r="D7">
        <v>648496</v>
      </c>
      <c r="E7" s="11">
        <v>4556790</v>
      </c>
      <c r="F7" s="11">
        <v>692779</v>
      </c>
      <c r="G7" s="11">
        <v>2384118</v>
      </c>
      <c r="H7" s="11">
        <v>-226287</v>
      </c>
      <c r="I7" s="11">
        <v>-520156.67</v>
      </c>
      <c r="J7" s="11">
        <v>596140</v>
      </c>
      <c r="K7" s="11">
        <v>329018</v>
      </c>
      <c r="L7" s="11">
        <v>2323539</v>
      </c>
      <c r="M7" s="11">
        <v>-992540</v>
      </c>
      <c r="N7" s="11">
        <v>4446197</v>
      </c>
      <c r="O7" s="11">
        <v>1300372</v>
      </c>
      <c r="P7" s="11">
        <v>80062</v>
      </c>
      <c r="Q7" s="11">
        <v>808308</v>
      </c>
      <c r="R7" s="11">
        <v>317889</v>
      </c>
      <c r="S7" s="11">
        <v>115758</v>
      </c>
      <c r="T7" s="11">
        <v>339669</v>
      </c>
      <c r="U7" s="11">
        <v>3514872.6111526825</v>
      </c>
      <c r="V7" s="11">
        <v>-112933</v>
      </c>
      <c r="W7" s="39">
        <v>6135963</v>
      </c>
      <c r="X7" s="11">
        <v>2070660</v>
      </c>
      <c r="Y7" s="11">
        <v>-41206</v>
      </c>
      <c r="Z7" s="11">
        <v>1324704</v>
      </c>
      <c r="AA7" s="11">
        <v>108962</v>
      </c>
      <c r="AB7" s="11">
        <v>1317641</v>
      </c>
      <c r="AC7" s="11">
        <v>1290536</v>
      </c>
      <c r="AD7" s="39">
        <v>2631101</v>
      </c>
      <c r="AE7" s="11">
        <v>1874182</v>
      </c>
      <c r="AF7" s="11">
        <v>2367137</v>
      </c>
      <c r="AG7" s="11">
        <v>6211951</v>
      </c>
      <c r="AH7" s="11">
        <v>470573</v>
      </c>
      <c r="AI7" s="12">
        <f>SUM(B7:AH7)</f>
        <v>45571558.941152684</v>
      </c>
    </row>
    <row r="8" spans="1:35" x14ac:dyDescent="0.25">
      <c r="A8" s="4" t="s">
        <v>269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2"/>
    </row>
    <row r="9" spans="1:35" x14ac:dyDescent="0.25">
      <c r="A9" s="3" t="s">
        <v>270</v>
      </c>
      <c r="B9" s="11">
        <v>26776</v>
      </c>
      <c r="C9" s="11">
        <v>45854</v>
      </c>
      <c r="D9" s="39">
        <v>453418</v>
      </c>
      <c r="E9" s="11">
        <v>647193</v>
      </c>
      <c r="F9" s="11">
        <v>137800</v>
      </c>
      <c r="G9" s="11">
        <v>152727</v>
      </c>
      <c r="H9" s="11">
        <v>18147</v>
      </c>
      <c r="I9" s="11">
        <v>915789.33</v>
      </c>
      <c r="J9" s="11">
        <f>154855-1565</f>
        <v>153290</v>
      </c>
      <c r="K9" s="11">
        <v>120964</v>
      </c>
      <c r="L9" s="11">
        <v>321090</v>
      </c>
      <c r="M9" s="11">
        <v>91486</v>
      </c>
      <c r="N9" s="11">
        <v>1007100</v>
      </c>
      <c r="O9" s="11">
        <v>441640</v>
      </c>
      <c r="P9" s="11">
        <v>28305</v>
      </c>
      <c r="Q9" s="11">
        <v>134337</v>
      </c>
      <c r="R9" s="11">
        <v>56446</v>
      </c>
      <c r="S9" s="11">
        <v>36003</v>
      </c>
      <c r="T9" s="11">
        <v>68049</v>
      </c>
      <c r="U9" s="11"/>
      <c r="V9" s="11">
        <v>37679</v>
      </c>
      <c r="W9" s="39">
        <v>2352107</v>
      </c>
      <c r="X9" s="11">
        <v>64654</v>
      </c>
      <c r="Y9" s="11">
        <v>20160</v>
      </c>
      <c r="Z9" s="11">
        <v>290591</v>
      </c>
      <c r="AA9" s="11">
        <v>98924</v>
      </c>
      <c r="AB9" s="11">
        <v>190124</v>
      </c>
      <c r="AC9" s="11">
        <v>285098</v>
      </c>
      <c r="AD9" s="39">
        <v>282487</v>
      </c>
      <c r="AE9" s="11">
        <v>374765</v>
      </c>
      <c r="AF9" s="11">
        <v>453215</v>
      </c>
      <c r="AG9" s="11">
        <v>235757</v>
      </c>
      <c r="AH9" s="11">
        <v>156424</v>
      </c>
      <c r="AI9" s="12">
        <f t="shared" ref="AI9:AI15" si="0">SUM(B9:AH9)</f>
        <v>9698399.3300000001</v>
      </c>
    </row>
    <row r="10" spans="1:35" x14ac:dyDescent="0.25">
      <c r="A10" s="3" t="s">
        <v>271</v>
      </c>
      <c r="B10" s="11">
        <v>14308</v>
      </c>
      <c r="C10" s="11">
        <v>8262</v>
      </c>
      <c r="D10" s="39">
        <v>10296</v>
      </c>
      <c r="E10" s="11">
        <v>33</v>
      </c>
      <c r="F10" s="11">
        <v>8161</v>
      </c>
      <c r="G10" s="11">
        <v>37376</v>
      </c>
      <c r="H10" s="11">
        <v>10216</v>
      </c>
      <c r="I10" s="11">
        <v>57384.4</v>
      </c>
      <c r="J10" s="11">
        <v>10657</v>
      </c>
      <c r="K10" s="11">
        <v>838</v>
      </c>
      <c r="L10" s="11">
        <v>34888</v>
      </c>
      <c r="M10" s="11">
        <v>7813</v>
      </c>
      <c r="N10" s="11">
        <v>349341</v>
      </c>
      <c r="O10" s="11">
        <v>16415</v>
      </c>
      <c r="P10" s="11">
        <v>12236</v>
      </c>
      <c r="Q10" s="11">
        <v>1735</v>
      </c>
      <c r="R10" s="11">
        <v>11154</v>
      </c>
      <c r="S10" s="11">
        <v>8920</v>
      </c>
      <c r="T10" s="11">
        <v>2461</v>
      </c>
      <c r="U10" s="11"/>
      <c r="V10" s="11">
        <v>8533</v>
      </c>
      <c r="W10" s="39">
        <v>230923</v>
      </c>
      <c r="X10" s="11">
        <v>8007</v>
      </c>
      <c r="Y10" s="11">
        <v>1021</v>
      </c>
      <c r="Z10" s="11">
        <v>88572</v>
      </c>
      <c r="AA10" s="11">
        <v>13450</v>
      </c>
      <c r="AB10" s="11">
        <v>45610</v>
      </c>
      <c r="AC10" s="11">
        <v>122006</v>
      </c>
      <c r="AD10" s="39">
        <v>18453</v>
      </c>
      <c r="AE10" s="11">
        <v>85</v>
      </c>
      <c r="AF10" s="11">
        <v>89022</v>
      </c>
      <c r="AG10" s="11">
        <v>104978</v>
      </c>
      <c r="AH10" s="11">
        <v>7854</v>
      </c>
      <c r="AI10" s="12">
        <f>SUM(B10:AH10)</f>
        <v>1341008.3999999999</v>
      </c>
    </row>
    <row r="11" spans="1:35" x14ac:dyDescent="0.25">
      <c r="A11" s="3" t="s">
        <v>272</v>
      </c>
      <c r="B11" s="11">
        <v>776</v>
      </c>
      <c r="C11" s="11"/>
      <c r="D11" s="11"/>
      <c r="E11" s="11"/>
      <c r="F11" s="11"/>
      <c r="G11" s="11"/>
      <c r="H11" s="11">
        <v>-33091</v>
      </c>
      <c r="I11" s="11"/>
      <c r="J11" s="11">
        <v>-7424</v>
      </c>
      <c r="K11" s="11"/>
      <c r="L11" s="11"/>
      <c r="M11" s="11"/>
      <c r="N11" s="11">
        <v>-211666</v>
      </c>
      <c r="O11" s="11"/>
      <c r="P11" s="11"/>
      <c r="Q11" s="11"/>
      <c r="R11" s="11">
        <v>-8</v>
      </c>
      <c r="S11" s="11"/>
      <c r="T11" s="11"/>
      <c r="U11" s="11"/>
      <c r="V11" s="11"/>
      <c r="W11" s="11"/>
      <c r="X11" s="11"/>
      <c r="Y11" s="11"/>
      <c r="Z11" s="11">
        <v>-548</v>
      </c>
      <c r="AA11" s="11"/>
      <c r="AB11" s="11">
        <v>-19349</v>
      </c>
      <c r="AC11" s="11"/>
      <c r="AD11" s="11"/>
      <c r="AE11" s="11"/>
      <c r="AF11" s="11">
        <v>-6645</v>
      </c>
      <c r="AG11" s="11"/>
      <c r="AH11" s="11">
        <v>-1330</v>
      </c>
      <c r="AI11" s="12">
        <f t="shared" si="0"/>
        <v>-279285</v>
      </c>
    </row>
    <row r="12" spans="1:35" ht="15" customHeight="1" x14ac:dyDescent="0.25">
      <c r="A12" s="3" t="s">
        <v>273</v>
      </c>
      <c r="B12" s="11"/>
      <c r="C12" s="11">
        <v>-3710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2">
        <f t="shared" si="0"/>
        <v>-3710</v>
      </c>
    </row>
    <row r="13" spans="1:35" x14ac:dyDescent="0.25">
      <c r="A13" s="11" t="s">
        <v>274</v>
      </c>
      <c r="B13" s="11"/>
      <c r="C13" s="11"/>
      <c r="D13">
        <v>9478</v>
      </c>
      <c r="E13" s="11">
        <v>855</v>
      </c>
      <c r="F13" s="11">
        <v>-1412</v>
      </c>
      <c r="G13" s="11"/>
      <c r="H13" s="11"/>
      <c r="I13" s="11"/>
      <c r="J13" s="11"/>
      <c r="K13" s="11"/>
      <c r="L13" s="11"/>
      <c r="M13" s="11">
        <v>-2625</v>
      </c>
      <c r="N13" s="11"/>
      <c r="O13" s="11"/>
      <c r="P13" s="11"/>
      <c r="Q13" s="11"/>
      <c r="R13" s="11"/>
      <c r="S13" s="11"/>
      <c r="T13" s="11">
        <v>-1588</v>
      </c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>
        <v>-11073</v>
      </c>
      <c r="AI13" s="12">
        <f t="shared" si="0"/>
        <v>-6365</v>
      </c>
    </row>
    <row r="14" spans="1:35" x14ac:dyDescent="0.25">
      <c r="A14" s="4" t="s">
        <v>275</v>
      </c>
      <c r="B14" s="11">
        <f>B15-B13-B12-B11-B10-B9-B7-B6-B5</f>
        <v>-1552</v>
      </c>
      <c r="C14" s="11">
        <f t="shared" ref="C14:AH14" si="1">C15-C13-C12-C11-C10-C9-C7-C6-C5</f>
        <v>0</v>
      </c>
      <c r="D14" s="11">
        <f t="shared" si="1"/>
        <v>1709</v>
      </c>
      <c r="E14" s="11">
        <f t="shared" si="1"/>
        <v>2517</v>
      </c>
      <c r="F14" s="11">
        <f t="shared" si="1"/>
        <v>1</v>
      </c>
      <c r="G14" s="11">
        <f t="shared" si="1"/>
        <v>0</v>
      </c>
      <c r="H14" s="11">
        <f t="shared" si="1"/>
        <v>0</v>
      </c>
      <c r="I14" s="11">
        <f t="shared" si="1"/>
        <v>10608.630000000005</v>
      </c>
      <c r="J14" s="11">
        <f t="shared" si="1"/>
        <v>-1</v>
      </c>
      <c r="K14" s="11">
        <f t="shared" si="1"/>
        <v>6</v>
      </c>
      <c r="L14" s="11">
        <f t="shared" si="1"/>
        <v>0</v>
      </c>
      <c r="M14" s="11">
        <f t="shared" si="1"/>
        <v>289</v>
      </c>
      <c r="N14" s="11">
        <f t="shared" si="1"/>
        <v>246</v>
      </c>
      <c r="O14" s="11">
        <f t="shared" si="1"/>
        <v>14491</v>
      </c>
      <c r="P14" s="11">
        <f t="shared" si="1"/>
        <v>62</v>
      </c>
      <c r="Q14" s="11">
        <f t="shared" si="1"/>
        <v>2</v>
      </c>
      <c r="R14" s="11">
        <f t="shared" si="1"/>
        <v>0</v>
      </c>
      <c r="S14" s="11">
        <f t="shared" si="1"/>
        <v>1</v>
      </c>
      <c r="T14" s="11">
        <f t="shared" si="1"/>
        <v>1570</v>
      </c>
      <c r="U14" s="11">
        <f t="shared" si="1"/>
        <v>299791</v>
      </c>
      <c r="V14" s="11">
        <f t="shared" si="1"/>
        <v>11</v>
      </c>
      <c r="W14" s="11">
        <f t="shared" si="1"/>
        <v>17495</v>
      </c>
      <c r="X14" s="11">
        <f t="shared" si="1"/>
        <v>39980</v>
      </c>
      <c r="Y14" s="11">
        <f t="shared" si="1"/>
        <v>-3</v>
      </c>
      <c r="Z14" s="11">
        <f t="shared" si="1"/>
        <v>6900</v>
      </c>
      <c r="AA14" s="11">
        <f t="shared" si="1"/>
        <v>0</v>
      </c>
      <c r="AB14" s="11">
        <f t="shared" si="1"/>
        <v>137</v>
      </c>
      <c r="AC14" s="11">
        <f t="shared" si="1"/>
        <v>530</v>
      </c>
      <c r="AD14" s="11">
        <f t="shared" si="1"/>
        <v>-6370</v>
      </c>
      <c r="AE14" s="11">
        <f t="shared" si="1"/>
        <v>232</v>
      </c>
      <c r="AF14" s="11">
        <f t="shared" si="1"/>
        <v>31888</v>
      </c>
      <c r="AG14" s="11">
        <f t="shared" si="1"/>
        <v>9058</v>
      </c>
      <c r="AH14" s="11">
        <f t="shared" si="1"/>
        <v>0</v>
      </c>
      <c r="AI14" s="12">
        <f t="shared" si="0"/>
        <v>429598.63</v>
      </c>
    </row>
    <row r="15" spans="1:35" s="9" customFormat="1" x14ac:dyDescent="0.25">
      <c r="A15" s="4" t="s">
        <v>36</v>
      </c>
      <c r="B15" s="12">
        <v>-129036</v>
      </c>
      <c r="C15" s="12">
        <v>-572986</v>
      </c>
      <c r="D15" s="12">
        <v>1123397</v>
      </c>
      <c r="E15" s="12">
        <v>5413646</v>
      </c>
      <c r="F15" s="12">
        <v>685955</v>
      </c>
      <c r="G15" s="12">
        <v>2693714</v>
      </c>
      <c r="H15" s="12">
        <v>-236710</v>
      </c>
      <c r="I15" s="12">
        <v>463625.69</v>
      </c>
      <c r="J15" s="12">
        <v>672007</v>
      </c>
      <c r="K15" s="12">
        <v>398709</v>
      </c>
      <c r="L15" s="12">
        <v>2092612</v>
      </c>
      <c r="M15" s="12">
        <v>-895577</v>
      </c>
      <c r="N15" s="12">
        <v>5584909</v>
      </c>
      <c r="O15" s="12">
        <v>1975600</v>
      </c>
      <c r="P15" s="12">
        <v>127342</v>
      </c>
      <c r="Q15" s="12">
        <v>980911</v>
      </c>
      <c r="R15" s="12">
        <v>254423</v>
      </c>
      <c r="S15" s="12">
        <v>160682</v>
      </c>
      <c r="T15" s="12">
        <v>410161</v>
      </c>
      <c r="U15" s="12">
        <v>3477608.1503156158</v>
      </c>
      <c r="V15" s="12">
        <v>-69596</v>
      </c>
      <c r="W15" s="12">
        <v>4555882</v>
      </c>
      <c r="X15" s="12">
        <v>585904</v>
      </c>
      <c r="Y15" s="12">
        <v>-20864</v>
      </c>
      <c r="Z15" s="12">
        <v>1265924</v>
      </c>
      <c r="AA15" s="12">
        <v>221336</v>
      </c>
      <c r="AB15" s="12">
        <v>1490191</v>
      </c>
      <c r="AC15" s="12">
        <v>1871178</v>
      </c>
      <c r="AD15" s="12">
        <v>2871452</v>
      </c>
      <c r="AE15" s="12">
        <v>2249264</v>
      </c>
      <c r="AF15" s="12">
        <v>2920124</v>
      </c>
      <c r="AG15" s="12">
        <v>5784271</v>
      </c>
      <c r="AH15" s="12">
        <v>573444</v>
      </c>
      <c r="AI15" s="12">
        <f t="shared" si="0"/>
        <v>48979502.84031561</v>
      </c>
    </row>
    <row r="16" spans="1:35" x14ac:dyDescent="0.25">
      <c r="A16" s="4" t="s">
        <v>276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2"/>
    </row>
    <row r="17" spans="1:35" x14ac:dyDescent="0.25">
      <c r="A17" s="3" t="s">
        <v>277</v>
      </c>
      <c r="B17" s="11"/>
      <c r="C17" s="11"/>
      <c r="D17" s="11"/>
      <c r="E17" s="11"/>
      <c r="F17" s="11">
        <v>180000</v>
      </c>
      <c r="G17" s="11">
        <v>21011</v>
      </c>
      <c r="H17" s="11"/>
      <c r="I17" s="11"/>
      <c r="J17" s="11">
        <v>124919</v>
      </c>
      <c r="K17" s="11"/>
      <c r="L17" s="11">
        <v>61705</v>
      </c>
      <c r="M17" s="11">
        <v>54997</v>
      </c>
      <c r="N17" s="11">
        <v>-190</v>
      </c>
      <c r="O17" s="11"/>
      <c r="P17" s="11"/>
      <c r="Q17" s="11"/>
      <c r="R17" s="11">
        <v>93586</v>
      </c>
      <c r="S17" s="11"/>
      <c r="T17" s="11"/>
      <c r="U17" s="11"/>
      <c r="V17" s="11"/>
      <c r="W17" s="39">
        <v>25196</v>
      </c>
      <c r="X17" s="11"/>
      <c r="Y17" s="11"/>
      <c r="Z17" s="11"/>
      <c r="AA17" s="11"/>
      <c r="AB17" s="11"/>
      <c r="AC17" s="11">
        <v>24281</v>
      </c>
      <c r="AD17" s="11"/>
      <c r="AE17" s="11"/>
      <c r="AF17" s="11"/>
      <c r="AG17" s="11">
        <v>21481</v>
      </c>
      <c r="AH17" s="39"/>
      <c r="AI17" s="12">
        <f t="shared" ref="AI17:AI24" si="2">SUM(B17:AH17)</f>
        <v>606986</v>
      </c>
    </row>
    <row r="18" spans="1:35" x14ac:dyDescent="0.25">
      <c r="A18" s="3" t="s">
        <v>278</v>
      </c>
      <c r="B18" s="11"/>
      <c r="C18" s="11"/>
      <c r="D18" s="11"/>
      <c r="E18" s="11">
        <v>4408</v>
      </c>
      <c r="F18" s="11">
        <v>52850</v>
      </c>
      <c r="G18" s="11">
        <v>980000</v>
      </c>
      <c r="H18" s="11"/>
      <c r="I18" s="11"/>
      <c r="J18" s="11"/>
      <c r="K18" s="11"/>
      <c r="L18" s="11">
        <v>6856</v>
      </c>
      <c r="M18" s="11"/>
      <c r="N18" s="11">
        <v>54868</v>
      </c>
      <c r="O18" s="11"/>
      <c r="P18" s="11">
        <v>105</v>
      </c>
      <c r="Q18" s="11"/>
      <c r="R18" s="11">
        <v>22</v>
      </c>
      <c r="S18" s="11">
        <v>-923</v>
      </c>
      <c r="T18" s="11">
        <v>699</v>
      </c>
      <c r="U18" s="11"/>
      <c r="V18" s="11"/>
      <c r="W18" s="11">
        <v>-29</v>
      </c>
      <c r="X18" s="11"/>
      <c r="Y18" s="11"/>
      <c r="Z18" s="11"/>
      <c r="AA18" s="11"/>
      <c r="AB18" s="11">
        <v>5064</v>
      </c>
      <c r="AC18" s="11"/>
      <c r="AD18" s="11">
        <v>13</v>
      </c>
      <c r="AE18" s="11"/>
      <c r="AF18" s="11">
        <v>77399</v>
      </c>
      <c r="AG18" s="11">
        <v>68444</v>
      </c>
      <c r="AH18" s="39"/>
      <c r="AI18" s="12">
        <f t="shared" si="2"/>
        <v>1249776</v>
      </c>
    </row>
    <row r="19" spans="1:35" x14ac:dyDescent="0.25">
      <c r="A19" s="3" t="s">
        <v>59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>
        <v>2336</v>
      </c>
      <c r="Y19" s="11"/>
      <c r="Z19" s="11"/>
      <c r="AA19" s="11"/>
      <c r="AB19" s="11">
        <v>96526</v>
      </c>
      <c r="AC19" s="11"/>
      <c r="AD19" s="11"/>
      <c r="AE19" s="11"/>
      <c r="AF19" s="11"/>
      <c r="AG19" s="11"/>
      <c r="AH19" s="11"/>
      <c r="AI19" s="12">
        <f t="shared" si="2"/>
        <v>98862</v>
      </c>
    </row>
    <row r="20" spans="1:35" x14ac:dyDescent="0.25">
      <c r="A20" s="4" t="s">
        <v>279</v>
      </c>
      <c r="B20" s="11">
        <f>B21-B19-B18-B17</f>
        <v>954</v>
      </c>
      <c r="C20" s="11">
        <f t="shared" ref="C20:AH20" si="3">C21-C19-C18-C17</f>
        <v>6953</v>
      </c>
      <c r="D20" s="11">
        <f t="shared" si="3"/>
        <v>16002</v>
      </c>
      <c r="E20" s="11">
        <f t="shared" si="3"/>
        <v>143056</v>
      </c>
      <c r="F20" s="11">
        <f t="shared" si="3"/>
        <v>66508</v>
      </c>
      <c r="G20" s="11">
        <f t="shared" si="3"/>
        <v>271159</v>
      </c>
      <c r="H20" s="11">
        <f t="shared" si="3"/>
        <v>569</v>
      </c>
      <c r="I20" s="11">
        <f t="shared" si="3"/>
        <v>17847.97</v>
      </c>
      <c r="J20" s="11">
        <f t="shared" si="3"/>
        <v>29107</v>
      </c>
      <c r="K20" s="11">
        <f t="shared" si="3"/>
        <v>5980</v>
      </c>
      <c r="L20" s="11">
        <f t="shared" si="3"/>
        <v>166247</v>
      </c>
      <c r="M20" s="11">
        <f t="shared" si="3"/>
        <v>41041</v>
      </c>
      <c r="N20" s="11">
        <f t="shared" si="3"/>
        <v>219791</v>
      </c>
      <c r="O20" s="11">
        <f t="shared" si="3"/>
        <v>13027</v>
      </c>
      <c r="P20" s="11">
        <f t="shared" si="3"/>
        <v>392</v>
      </c>
      <c r="Q20" s="11">
        <f t="shared" si="3"/>
        <v>16215</v>
      </c>
      <c r="R20" s="11">
        <f t="shared" si="3"/>
        <v>20838</v>
      </c>
      <c r="S20" s="11">
        <f t="shared" si="3"/>
        <v>7601</v>
      </c>
      <c r="T20" s="11">
        <f t="shared" si="3"/>
        <v>307589</v>
      </c>
      <c r="U20" s="11">
        <f t="shared" si="3"/>
        <v>187188</v>
      </c>
      <c r="V20" s="11">
        <f t="shared" si="3"/>
        <v>1857</v>
      </c>
      <c r="W20" s="11">
        <f t="shared" si="3"/>
        <v>1098030</v>
      </c>
      <c r="X20" s="11">
        <f t="shared" si="3"/>
        <v>109885</v>
      </c>
      <c r="Y20" s="11">
        <f t="shared" si="3"/>
        <v>116843</v>
      </c>
      <c r="Z20" s="11">
        <f t="shared" si="3"/>
        <v>113001</v>
      </c>
      <c r="AA20" s="11">
        <f t="shared" si="3"/>
        <v>18358</v>
      </c>
      <c r="AB20" s="11">
        <f t="shared" si="3"/>
        <v>38905</v>
      </c>
      <c r="AC20" s="11">
        <f t="shared" si="3"/>
        <v>38299</v>
      </c>
      <c r="AD20" s="11">
        <f t="shared" si="3"/>
        <v>21752</v>
      </c>
      <c r="AE20" s="11">
        <f t="shared" si="3"/>
        <v>79453</v>
      </c>
      <c r="AF20" s="11">
        <f t="shared" si="3"/>
        <v>124329</v>
      </c>
      <c r="AG20" s="11">
        <f t="shared" si="3"/>
        <v>190053</v>
      </c>
      <c r="AH20" s="11">
        <f t="shared" si="3"/>
        <v>4656</v>
      </c>
      <c r="AI20" s="12">
        <f t="shared" si="2"/>
        <v>3493485.9699999997</v>
      </c>
    </row>
    <row r="21" spans="1:35" s="9" customFormat="1" x14ac:dyDescent="0.25">
      <c r="A21" s="4" t="s">
        <v>40</v>
      </c>
      <c r="B21" s="12">
        <v>954</v>
      </c>
      <c r="C21" s="12">
        <v>6953</v>
      </c>
      <c r="D21" s="12">
        <v>16002</v>
      </c>
      <c r="E21" s="12">
        <v>147464</v>
      </c>
      <c r="F21" s="12">
        <v>299358</v>
      </c>
      <c r="G21" s="12">
        <v>1272170</v>
      </c>
      <c r="H21" s="12">
        <v>569</v>
      </c>
      <c r="I21" s="12">
        <v>17847.97</v>
      </c>
      <c r="J21" s="12">
        <v>154026</v>
      </c>
      <c r="K21" s="12">
        <v>5980</v>
      </c>
      <c r="L21" s="12">
        <v>234808</v>
      </c>
      <c r="M21" s="12">
        <v>96038</v>
      </c>
      <c r="N21" s="12">
        <v>274469</v>
      </c>
      <c r="O21" s="12">
        <v>13027</v>
      </c>
      <c r="P21" s="12">
        <v>497</v>
      </c>
      <c r="Q21" s="12">
        <v>16215</v>
      </c>
      <c r="R21" s="12">
        <v>114446</v>
      </c>
      <c r="S21" s="12">
        <v>6678</v>
      </c>
      <c r="T21" s="12">
        <v>308288</v>
      </c>
      <c r="U21" s="12">
        <v>187188</v>
      </c>
      <c r="V21" s="12">
        <v>1857</v>
      </c>
      <c r="W21" s="12">
        <v>1123197</v>
      </c>
      <c r="X21" s="12">
        <v>112221</v>
      </c>
      <c r="Y21" s="12">
        <v>116843</v>
      </c>
      <c r="Z21" s="12">
        <v>113001</v>
      </c>
      <c r="AA21" s="12">
        <v>18358</v>
      </c>
      <c r="AB21" s="12">
        <v>140495</v>
      </c>
      <c r="AC21" s="12">
        <v>62580</v>
      </c>
      <c r="AD21" s="12">
        <v>21765</v>
      </c>
      <c r="AE21" s="12">
        <v>79453</v>
      </c>
      <c r="AF21" s="12">
        <v>201728</v>
      </c>
      <c r="AG21" s="12">
        <v>279978</v>
      </c>
      <c r="AH21" s="12">
        <v>4656</v>
      </c>
      <c r="AI21" s="12">
        <f t="shared" si="2"/>
        <v>5449109.9699999997</v>
      </c>
    </row>
    <row r="22" spans="1:35" s="9" customFormat="1" x14ac:dyDescent="0.25">
      <c r="A22" s="4" t="s">
        <v>280</v>
      </c>
      <c r="B22" s="12">
        <f>B15-B21</f>
        <v>-129990</v>
      </c>
      <c r="C22" s="12">
        <f t="shared" ref="C22:AH22" si="4">C15-C21</f>
        <v>-579939</v>
      </c>
      <c r="D22" s="12">
        <f t="shared" si="4"/>
        <v>1107395</v>
      </c>
      <c r="E22" s="12">
        <f t="shared" si="4"/>
        <v>5266182</v>
      </c>
      <c r="F22" s="12">
        <f t="shared" si="4"/>
        <v>386597</v>
      </c>
      <c r="G22" s="12">
        <f t="shared" si="4"/>
        <v>1421544</v>
      </c>
      <c r="H22" s="12">
        <f t="shared" si="4"/>
        <v>-237279</v>
      </c>
      <c r="I22" s="12">
        <f t="shared" si="4"/>
        <v>445777.72</v>
      </c>
      <c r="J22" s="12">
        <f t="shared" si="4"/>
        <v>517981</v>
      </c>
      <c r="K22" s="12">
        <f t="shared" si="4"/>
        <v>392729</v>
      </c>
      <c r="L22" s="12">
        <f t="shared" si="4"/>
        <v>1857804</v>
      </c>
      <c r="M22" s="12">
        <f t="shared" si="4"/>
        <v>-991615</v>
      </c>
      <c r="N22" s="12">
        <f t="shared" si="4"/>
        <v>5310440</v>
      </c>
      <c r="O22" s="12">
        <f t="shared" si="4"/>
        <v>1962573</v>
      </c>
      <c r="P22" s="12">
        <f t="shared" si="4"/>
        <v>126845</v>
      </c>
      <c r="Q22" s="12">
        <f t="shared" si="4"/>
        <v>964696</v>
      </c>
      <c r="R22" s="12">
        <f t="shared" si="4"/>
        <v>139977</v>
      </c>
      <c r="S22" s="12">
        <f t="shared" si="4"/>
        <v>154004</v>
      </c>
      <c r="T22" s="12">
        <f t="shared" si="4"/>
        <v>101873</v>
      </c>
      <c r="U22" s="12">
        <f t="shared" si="4"/>
        <v>3290420.1503156158</v>
      </c>
      <c r="V22" s="12">
        <f t="shared" si="4"/>
        <v>-71453</v>
      </c>
      <c r="W22" s="12">
        <f t="shared" si="4"/>
        <v>3432685</v>
      </c>
      <c r="X22" s="12">
        <f t="shared" si="4"/>
        <v>473683</v>
      </c>
      <c r="Y22" s="12">
        <f t="shared" si="4"/>
        <v>-137707</v>
      </c>
      <c r="Z22" s="12">
        <f t="shared" si="4"/>
        <v>1152923</v>
      </c>
      <c r="AA22" s="12">
        <f t="shared" si="4"/>
        <v>202978</v>
      </c>
      <c r="AB22" s="12">
        <f t="shared" si="4"/>
        <v>1349696</v>
      </c>
      <c r="AC22" s="12">
        <f t="shared" si="4"/>
        <v>1808598</v>
      </c>
      <c r="AD22" s="12">
        <f t="shared" si="4"/>
        <v>2849687</v>
      </c>
      <c r="AE22" s="12">
        <f t="shared" si="4"/>
        <v>2169811</v>
      </c>
      <c r="AF22" s="12">
        <f t="shared" si="4"/>
        <v>2718396</v>
      </c>
      <c r="AG22" s="12">
        <f t="shared" si="4"/>
        <v>5504293</v>
      </c>
      <c r="AH22" s="12">
        <f t="shared" si="4"/>
        <v>568788</v>
      </c>
      <c r="AI22" s="12">
        <f t="shared" si="2"/>
        <v>43530392.870315611</v>
      </c>
    </row>
    <row r="23" spans="1:35" x14ac:dyDescent="0.25">
      <c r="A23" s="3" t="s">
        <v>282</v>
      </c>
      <c r="B23" s="11"/>
      <c r="C23" s="11"/>
      <c r="D23">
        <v>278731</v>
      </c>
      <c r="E23" s="11">
        <v>1317670</v>
      </c>
      <c r="F23" s="11"/>
      <c r="G23" s="11">
        <v>350590</v>
      </c>
      <c r="H23" s="11"/>
      <c r="I23" s="11">
        <v>112100</v>
      </c>
      <c r="J23" s="11">
        <f>162499-26391</f>
        <v>136108</v>
      </c>
      <c r="K23" s="11"/>
      <c r="L23" s="11">
        <f>462335+11447</f>
        <v>473782</v>
      </c>
      <c r="M23" s="11"/>
      <c r="N23" s="11">
        <f>1909555-580156</f>
        <v>1329399</v>
      </c>
      <c r="O23" s="11">
        <f>428900-12900</f>
        <v>416000</v>
      </c>
      <c r="P23" s="11"/>
      <c r="Q23" s="11"/>
      <c r="R23" s="11">
        <v>35229</v>
      </c>
      <c r="S23" s="11"/>
      <c r="T23" s="11"/>
      <c r="U23" s="11"/>
      <c r="V23" s="11"/>
      <c r="W23" s="11">
        <f>734167 -166155</f>
        <v>568012</v>
      </c>
      <c r="X23" s="11"/>
      <c r="Y23" s="11">
        <v>-1035</v>
      </c>
      <c r="Z23" s="11">
        <f>224893+223089</f>
        <v>447982</v>
      </c>
      <c r="AA23" s="11"/>
      <c r="AB23" s="11">
        <v>334074</v>
      </c>
      <c r="AC23" s="11">
        <f>474581-12158</f>
        <v>462423</v>
      </c>
      <c r="AD23" s="11"/>
      <c r="AE23" s="11">
        <v>546142</v>
      </c>
      <c r="AF23" s="11">
        <f>1029092-363960</f>
        <v>665132</v>
      </c>
      <c r="AG23" s="11"/>
      <c r="AH23" s="11">
        <f>124360-17516</f>
        <v>106844</v>
      </c>
      <c r="AI23" s="12">
        <f t="shared" si="2"/>
        <v>7579183</v>
      </c>
    </row>
    <row r="24" spans="1:35" s="9" customFormat="1" x14ac:dyDescent="0.25">
      <c r="A24" s="4" t="s">
        <v>281</v>
      </c>
      <c r="B24" s="12">
        <f>B22-B23</f>
        <v>-129990</v>
      </c>
      <c r="C24" s="12">
        <f t="shared" ref="C24:AH24" si="5">C22-C23</f>
        <v>-579939</v>
      </c>
      <c r="D24" s="12">
        <f t="shared" si="5"/>
        <v>828664</v>
      </c>
      <c r="E24" s="12">
        <f t="shared" si="5"/>
        <v>3948512</v>
      </c>
      <c r="F24" s="12">
        <f t="shared" si="5"/>
        <v>386597</v>
      </c>
      <c r="G24" s="12">
        <f t="shared" si="5"/>
        <v>1070954</v>
      </c>
      <c r="H24" s="12">
        <f t="shared" si="5"/>
        <v>-237279</v>
      </c>
      <c r="I24" s="12">
        <f t="shared" si="5"/>
        <v>333677.71999999997</v>
      </c>
      <c r="J24" s="12">
        <f t="shared" si="5"/>
        <v>381873</v>
      </c>
      <c r="K24" s="12">
        <f t="shared" si="5"/>
        <v>392729</v>
      </c>
      <c r="L24" s="12">
        <f t="shared" si="5"/>
        <v>1384022</v>
      </c>
      <c r="M24" s="12">
        <f t="shared" si="5"/>
        <v>-991615</v>
      </c>
      <c r="N24" s="12">
        <f t="shared" si="5"/>
        <v>3981041</v>
      </c>
      <c r="O24" s="12">
        <f t="shared" si="5"/>
        <v>1546573</v>
      </c>
      <c r="P24" s="12">
        <f t="shared" si="5"/>
        <v>126845</v>
      </c>
      <c r="Q24" s="12">
        <f t="shared" si="5"/>
        <v>964696</v>
      </c>
      <c r="R24" s="12">
        <f t="shared" si="5"/>
        <v>104748</v>
      </c>
      <c r="S24" s="12">
        <f t="shared" si="5"/>
        <v>154004</v>
      </c>
      <c r="T24" s="12">
        <f t="shared" si="5"/>
        <v>101873</v>
      </c>
      <c r="U24" s="12">
        <f t="shared" si="5"/>
        <v>3290420.1503156158</v>
      </c>
      <c r="V24" s="12">
        <f t="shared" si="5"/>
        <v>-71453</v>
      </c>
      <c r="W24" s="12">
        <f t="shared" si="5"/>
        <v>2864673</v>
      </c>
      <c r="X24" s="12">
        <f t="shared" si="5"/>
        <v>473683</v>
      </c>
      <c r="Y24" s="12">
        <f t="shared" si="5"/>
        <v>-136672</v>
      </c>
      <c r="Z24" s="12">
        <f t="shared" si="5"/>
        <v>704941</v>
      </c>
      <c r="AA24" s="12">
        <f t="shared" si="5"/>
        <v>202978</v>
      </c>
      <c r="AB24" s="12">
        <f t="shared" si="5"/>
        <v>1015622</v>
      </c>
      <c r="AC24" s="12">
        <f t="shared" si="5"/>
        <v>1346175</v>
      </c>
      <c r="AD24" s="12">
        <f t="shared" si="5"/>
        <v>2849687</v>
      </c>
      <c r="AE24" s="12">
        <f t="shared" si="5"/>
        <v>1623669</v>
      </c>
      <c r="AF24" s="12">
        <f t="shared" si="5"/>
        <v>2053264</v>
      </c>
      <c r="AG24" s="12">
        <f t="shared" si="5"/>
        <v>5504293</v>
      </c>
      <c r="AH24" s="12">
        <f t="shared" si="5"/>
        <v>461944</v>
      </c>
      <c r="AI24" s="12">
        <f t="shared" si="2"/>
        <v>35951209.870315611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8" customWidth="1"/>
    <col min="2" max="34" width="16" style="8" customWidth="1"/>
    <col min="35" max="35" width="16" style="9" customWidth="1"/>
    <col min="36" max="16384" width="9.140625" style="8"/>
  </cols>
  <sheetData>
    <row r="1" spans="1:35" ht="18.75" x14ac:dyDescent="0.3">
      <c r="A1" s="18" t="s">
        <v>297</v>
      </c>
    </row>
    <row r="2" spans="1:35" x14ac:dyDescent="0.25">
      <c r="A2" s="19" t="s">
        <v>44</v>
      </c>
    </row>
    <row r="3" spans="1:35" x14ac:dyDescent="0.25">
      <c r="A3" s="1" t="s">
        <v>0</v>
      </c>
      <c r="B3" s="77" t="s">
        <v>1</v>
      </c>
      <c r="C3" s="77" t="s">
        <v>2</v>
      </c>
      <c r="D3" s="77" t="s">
        <v>3</v>
      </c>
      <c r="E3" s="77" t="s">
        <v>4</v>
      </c>
      <c r="F3" s="77" t="s">
        <v>5</v>
      </c>
      <c r="G3" s="77" t="s">
        <v>6</v>
      </c>
      <c r="H3" s="77" t="s">
        <v>7</v>
      </c>
      <c r="I3" s="77" t="s">
        <v>8</v>
      </c>
      <c r="J3" s="77" t="s">
        <v>9</v>
      </c>
      <c r="K3" s="77" t="s">
        <v>10</v>
      </c>
      <c r="L3" s="77" t="s">
        <v>11</v>
      </c>
      <c r="M3" s="77" t="s">
        <v>293</v>
      </c>
      <c r="N3" s="77" t="s">
        <v>12</v>
      </c>
      <c r="O3" s="77" t="s">
        <v>13</v>
      </c>
      <c r="P3" s="77" t="s">
        <v>14</v>
      </c>
      <c r="Q3" s="77" t="s">
        <v>15</v>
      </c>
      <c r="R3" s="77" t="s">
        <v>16</v>
      </c>
      <c r="S3" s="77" t="s">
        <v>295</v>
      </c>
      <c r="T3" s="77" t="s">
        <v>17</v>
      </c>
      <c r="U3" s="77" t="s">
        <v>18</v>
      </c>
      <c r="V3" s="77" t="s">
        <v>294</v>
      </c>
      <c r="W3" s="77" t="s">
        <v>19</v>
      </c>
      <c r="X3" s="77" t="s">
        <v>20</v>
      </c>
      <c r="Y3" s="77" t="s">
        <v>21</v>
      </c>
      <c r="Z3" s="77" t="s">
        <v>22</v>
      </c>
      <c r="AA3" s="77" t="s">
        <v>23</v>
      </c>
      <c r="AB3" s="77" t="s">
        <v>24</v>
      </c>
      <c r="AC3" s="77" t="s">
        <v>25</v>
      </c>
      <c r="AD3" s="77" t="s">
        <v>26</v>
      </c>
      <c r="AE3" s="77" t="s">
        <v>27</v>
      </c>
      <c r="AF3" s="77" t="s">
        <v>28</v>
      </c>
      <c r="AG3" s="76" t="s">
        <v>29</v>
      </c>
      <c r="AH3" s="77" t="s">
        <v>30</v>
      </c>
      <c r="AI3" s="77" t="s">
        <v>31</v>
      </c>
    </row>
    <row r="4" spans="1:35" x14ac:dyDescent="0.25">
      <c r="A4" s="4" t="s">
        <v>244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2"/>
    </row>
    <row r="5" spans="1:35" x14ac:dyDescent="0.25">
      <c r="A5" s="29" t="s">
        <v>245</v>
      </c>
      <c r="B5" s="11">
        <v>5460000</v>
      </c>
      <c r="C5" s="11">
        <v>3119327</v>
      </c>
      <c r="D5" s="11">
        <v>2000000</v>
      </c>
      <c r="E5" s="11">
        <v>1102273</v>
      </c>
      <c r="F5" s="11">
        <v>20559812</v>
      </c>
      <c r="G5" s="11">
        <v>2988057</v>
      </c>
      <c r="H5" s="11">
        <v>3080000</v>
      </c>
      <c r="I5" s="11">
        <v>28000000</v>
      </c>
      <c r="J5" s="11">
        <v>9048037</v>
      </c>
      <c r="K5" s="11">
        <v>8168430.5099999998</v>
      </c>
      <c r="L5" s="11">
        <v>6059766</v>
      </c>
      <c r="M5" s="11">
        <v>4056703</v>
      </c>
      <c r="N5" s="11">
        <v>4544750</v>
      </c>
      <c r="O5" s="11">
        <v>2742183</v>
      </c>
      <c r="P5" s="11">
        <v>3050000</v>
      </c>
      <c r="Q5" s="11">
        <v>10859752</v>
      </c>
      <c r="R5" s="11">
        <v>1547073</v>
      </c>
      <c r="S5" s="11">
        <v>7289022</v>
      </c>
      <c r="T5" s="11">
        <v>11260000</v>
      </c>
      <c r="U5" s="11">
        <v>25000000</v>
      </c>
      <c r="V5" s="11">
        <v>4957900</v>
      </c>
      <c r="W5" s="11">
        <v>8240000</v>
      </c>
      <c r="X5" s="11">
        <v>2500000</v>
      </c>
      <c r="Y5" s="11">
        <v>2070000</v>
      </c>
      <c r="Z5" s="11">
        <v>2515499</v>
      </c>
      <c r="AA5" s="11">
        <v>8258091</v>
      </c>
      <c r="AB5" s="11">
        <v>4490000</v>
      </c>
      <c r="AC5" s="11">
        <v>2155000</v>
      </c>
      <c r="AD5" s="11">
        <v>2591628</v>
      </c>
      <c r="AE5" s="11">
        <v>4906380</v>
      </c>
      <c r="AF5" s="11">
        <v>9944560</v>
      </c>
      <c r="AG5" s="11">
        <v>2000000</v>
      </c>
      <c r="AH5" s="11">
        <v>3681818</v>
      </c>
      <c r="AI5" s="12">
        <f t="shared" ref="AI5:AI10" si="0">SUM(B5:AH5)</f>
        <v>218246061.50999999</v>
      </c>
    </row>
    <row r="6" spans="1:35" x14ac:dyDescent="0.25">
      <c r="A6" s="29" t="s">
        <v>246</v>
      </c>
      <c r="B6" s="11"/>
      <c r="C6" s="11">
        <v>8170673</v>
      </c>
      <c r="D6" s="11">
        <v>40266647</v>
      </c>
      <c r="E6" s="11">
        <v>62362780</v>
      </c>
      <c r="F6" s="11">
        <v>1719685</v>
      </c>
      <c r="G6" s="11">
        <v>14111833</v>
      </c>
      <c r="H6" s="11"/>
      <c r="I6" s="11">
        <v>27482858.030000001</v>
      </c>
      <c r="J6" s="11">
        <v>1166506</v>
      </c>
      <c r="K6" s="11">
        <v>8381864.25</v>
      </c>
      <c r="L6" s="11">
        <v>19688651</v>
      </c>
      <c r="M6" s="11">
        <v>5558400</v>
      </c>
      <c r="N6" s="11">
        <v>60780459</v>
      </c>
      <c r="O6" s="11">
        <v>23386934</v>
      </c>
      <c r="P6" s="11"/>
      <c r="Q6" s="11">
        <v>6483748</v>
      </c>
      <c r="R6" s="11">
        <v>2796224</v>
      </c>
      <c r="S6" s="11">
        <v>3298637</v>
      </c>
      <c r="T6" s="11"/>
      <c r="U6" s="11">
        <v>148149</v>
      </c>
      <c r="V6" s="11"/>
      <c r="W6" s="11">
        <v>169573475</v>
      </c>
      <c r="X6" s="11">
        <v>11862881</v>
      </c>
      <c r="Y6" s="11"/>
      <c r="Z6" s="11">
        <v>16651177</v>
      </c>
      <c r="AA6" s="11">
        <v>2818269</v>
      </c>
      <c r="AB6" s="11">
        <v>8228373</v>
      </c>
      <c r="AC6" s="11">
        <v>21332058</v>
      </c>
      <c r="AD6" s="11">
        <v>16033545</v>
      </c>
      <c r="AE6" s="11">
        <v>15755273</v>
      </c>
      <c r="AF6" s="11">
        <v>17474671</v>
      </c>
      <c r="AG6" s="11">
        <v>18609949</v>
      </c>
      <c r="AH6" s="11">
        <v>6836017</v>
      </c>
      <c r="AI6" s="12">
        <f t="shared" si="0"/>
        <v>590979736.27999997</v>
      </c>
    </row>
    <row r="7" spans="1:35" x14ac:dyDescent="0.25">
      <c r="A7" s="29" t="s">
        <v>247</v>
      </c>
      <c r="B7" s="11">
        <f>760+514</f>
        <v>1274</v>
      </c>
      <c r="C7" s="11">
        <v>435</v>
      </c>
      <c r="D7" s="11">
        <v>-166295</v>
      </c>
      <c r="E7" s="11">
        <v>-717261</v>
      </c>
      <c r="F7" s="11">
        <f>4703+25897</f>
        <v>30600</v>
      </c>
      <c r="G7" s="11">
        <f>-17018-71886</f>
        <v>-88904</v>
      </c>
      <c r="H7" s="11">
        <f>953+23249</f>
        <v>24202</v>
      </c>
      <c r="I7" s="11">
        <v>1484726.63</v>
      </c>
      <c r="J7" s="11">
        <f>-117454-29689</f>
        <v>-147143</v>
      </c>
      <c r="K7" s="11">
        <v>36980.870000000003</v>
      </c>
      <c r="L7" s="11">
        <f>-67835-322545</f>
        <v>-390380</v>
      </c>
      <c r="M7" s="11">
        <f>324+108</f>
        <v>432</v>
      </c>
      <c r="N7" s="11">
        <f>-81879-282393</f>
        <v>-364272</v>
      </c>
      <c r="O7" s="11">
        <f>-3741-13521</f>
        <v>-17262</v>
      </c>
      <c r="P7" s="11">
        <v>8</v>
      </c>
      <c r="Q7" s="11">
        <f>567+1542</f>
        <v>2109</v>
      </c>
      <c r="R7" s="11">
        <f>19+118</f>
        <v>137</v>
      </c>
      <c r="S7" s="11">
        <v>455</v>
      </c>
      <c r="T7" s="11">
        <v>399</v>
      </c>
      <c r="U7" s="11">
        <v>-3249149</v>
      </c>
      <c r="V7" s="11">
        <f>144+178</f>
        <v>322</v>
      </c>
      <c r="W7" s="11">
        <v>132751427</v>
      </c>
      <c r="X7" s="11">
        <v>32769903</v>
      </c>
      <c r="Y7" s="11">
        <f>313+959</f>
        <v>1272</v>
      </c>
      <c r="Z7" s="11">
        <f>-91221-544589</f>
        <v>-635810</v>
      </c>
      <c r="AA7" s="11">
        <v>-21705</v>
      </c>
      <c r="AB7" s="11">
        <f>-80492-343981</f>
        <v>-424473</v>
      </c>
      <c r="AC7" s="11">
        <f>-378554+810</f>
        <v>-377744</v>
      </c>
      <c r="AD7" s="11">
        <v>-152551</v>
      </c>
      <c r="AE7" s="11">
        <f>11320+8163</f>
        <v>19483</v>
      </c>
      <c r="AF7" s="11">
        <f>-141661-564185</f>
        <v>-705846</v>
      </c>
      <c r="AG7" s="11">
        <f>287082+5170753</f>
        <v>5457835</v>
      </c>
      <c r="AH7" s="11">
        <f>-7487-20301</f>
        <v>-27788</v>
      </c>
      <c r="AI7" s="12">
        <f t="shared" si="0"/>
        <v>165095417.5</v>
      </c>
    </row>
    <row r="8" spans="1:35" x14ac:dyDescent="0.25">
      <c r="A8" s="29" t="s">
        <v>248</v>
      </c>
      <c r="B8" s="11"/>
      <c r="C8" s="11"/>
      <c r="D8" s="11"/>
      <c r="E8" s="11"/>
      <c r="F8" s="11">
        <v>2550000</v>
      </c>
      <c r="G8" s="11">
        <v>1000000</v>
      </c>
      <c r="H8" s="11"/>
      <c r="I8" s="11"/>
      <c r="J8" s="11"/>
      <c r="K8" s="11"/>
      <c r="L8" s="11">
        <v>3500000</v>
      </c>
      <c r="M8" s="11">
        <v>1540000</v>
      </c>
      <c r="N8" s="11">
        <v>4850000</v>
      </c>
      <c r="O8" s="11"/>
      <c r="P8" s="11"/>
      <c r="Q8" s="11"/>
      <c r="R8" s="11">
        <v>7709</v>
      </c>
      <c r="S8" s="11">
        <v>430000</v>
      </c>
      <c r="T8" s="11"/>
      <c r="U8" s="11">
        <v>8950000</v>
      </c>
      <c r="V8" s="11"/>
      <c r="W8" s="11"/>
      <c r="X8" s="11">
        <v>7500000</v>
      </c>
      <c r="Y8" s="11"/>
      <c r="Z8" s="11">
        <v>2300000</v>
      </c>
      <c r="AA8" s="11"/>
      <c r="AB8" s="11">
        <v>1000000</v>
      </c>
      <c r="AC8" s="11"/>
      <c r="AD8" s="11"/>
      <c r="AE8" s="11">
        <v>2500000</v>
      </c>
      <c r="AF8" s="11">
        <v>3630000</v>
      </c>
      <c r="AG8" s="11">
        <v>9000000</v>
      </c>
      <c r="AH8" s="11"/>
      <c r="AI8" s="12">
        <f t="shared" si="0"/>
        <v>48757709</v>
      </c>
    </row>
    <row r="9" spans="1:35" x14ac:dyDescent="0.25">
      <c r="A9" s="29" t="s">
        <v>42</v>
      </c>
      <c r="B9" s="11">
        <f>B10-B8-B7-B6-B5</f>
        <v>0</v>
      </c>
      <c r="C9" s="11">
        <f t="shared" ref="C9:AH9" si="1">C10-C8-C7-C6-C5</f>
        <v>0</v>
      </c>
      <c r="D9" s="11">
        <f t="shared" si="1"/>
        <v>0</v>
      </c>
      <c r="E9" s="11">
        <f t="shared" si="1"/>
        <v>0</v>
      </c>
      <c r="F9" s="11">
        <f t="shared" si="1"/>
        <v>0</v>
      </c>
      <c r="G9" s="11">
        <f t="shared" si="1"/>
        <v>0</v>
      </c>
      <c r="H9" s="11">
        <f t="shared" si="1"/>
        <v>0</v>
      </c>
      <c r="I9" s="11">
        <f t="shared" si="1"/>
        <v>0</v>
      </c>
      <c r="J9" s="11">
        <f t="shared" si="1"/>
        <v>107393</v>
      </c>
      <c r="K9" s="11">
        <f t="shared" si="1"/>
        <v>0</v>
      </c>
      <c r="L9" s="11">
        <f t="shared" si="1"/>
        <v>35121</v>
      </c>
      <c r="M9" s="11">
        <f t="shared" si="1"/>
        <v>630</v>
      </c>
      <c r="N9" s="11">
        <f t="shared" si="1"/>
        <v>0</v>
      </c>
      <c r="O9" s="11">
        <f t="shared" si="1"/>
        <v>0</v>
      </c>
      <c r="P9" s="11">
        <f t="shared" si="1"/>
        <v>0</v>
      </c>
      <c r="Q9" s="11">
        <f t="shared" si="1"/>
        <v>0</v>
      </c>
      <c r="R9" s="11">
        <f t="shared" si="1"/>
        <v>26006</v>
      </c>
      <c r="S9" s="11">
        <f t="shared" si="1"/>
        <v>0</v>
      </c>
      <c r="T9" s="11">
        <f t="shared" si="1"/>
        <v>0</v>
      </c>
      <c r="U9" s="11">
        <f t="shared" si="1"/>
        <v>0</v>
      </c>
      <c r="V9" s="11">
        <f t="shared" si="1"/>
        <v>0</v>
      </c>
      <c r="W9" s="11">
        <f t="shared" si="1"/>
        <v>0</v>
      </c>
      <c r="X9" s="11">
        <f t="shared" si="1"/>
        <v>0</v>
      </c>
      <c r="Y9" s="11">
        <f t="shared" si="1"/>
        <v>0</v>
      </c>
      <c r="Z9" s="11">
        <f t="shared" si="1"/>
        <v>0</v>
      </c>
      <c r="AA9" s="11">
        <f t="shared" si="1"/>
        <v>0</v>
      </c>
      <c r="AB9" s="11">
        <f t="shared" si="1"/>
        <v>-13293900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2">
        <f t="shared" si="0"/>
        <v>-13124750</v>
      </c>
    </row>
    <row r="10" spans="1:35" s="9" customFormat="1" x14ac:dyDescent="0.25">
      <c r="A10" s="4" t="s">
        <v>52</v>
      </c>
      <c r="B10" s="12">
        <v>5461274</v>
      </c>
      <c r="C10" s="12">
        <v>11290435</v>
      </c>
      <c r="D10" s="12">
        <v>42100352</v>
      </c>
      <c r="E10" s="12">
        <v>62747792</v>
      </c>
      <c r="F10" s="12">
        <v>24860097</v>
      </c>
      <c r="G10" s="12">
        <v>18010986</v>
      </c>
      <c r="H10" s="12">
        <v>3104202</v>
      </c>
      <c r="I10" s="12">
        <v>56967584.659999996</v>
      </c>
      <c r="J10" s="12">
        <v>10174793</v>
      </c>
      <c r="K10" s="12">
        <v>16587275.630000001</v>
      </c>
      <c r="L10" s="12">
        <v>28893158</v>
      </c>
      <c r="M10" s="12">
        <v>11156165</v>
      </c>
      <c r="N10" s="12">
        <v>69810937</v>
      </c>
      <c r="O10" s="12">
        <v>26111855</v>
      </c>
      <c r="P10" s="12">
        <v>3050008</v>
      </c>
      <c r="Q10" s="12">
        <v>17345609</v>
      </c>
      <c r="R10" s="12">
        <v>4377149</v>
      </c>
      <c r="S10" s="12">
        <v>11018114</v>
      </c>
      <c r="T10" s="12">
        <v>11260399</v>
      </c>
      <c r="U10" s="12">
        <v>30849000</v>
      </c>
      <c r="V10" s="12">
        <v>4958222</v>
      </c>
      <c r="W10" s="12">
        <v>310564902</v>
      </c>
      <c r="X10" s="12">
        <v>54632784</v>
      </c>
      <c r="Y10" s="12">
        <v>2071272</v>
      </c>
      <c r="Z10" s="12">
        <v>20830866</v>
      </c>
      <c r="AA10" s="12">
        <v>11054655</v>
      </c>
      <c r="AB10" s="12"/>
      <c r="AC10" s="12">
        <v>23109314</v>
      </c>
      <c r="AD10" s="12">
        <v>18472622</v>
      </c>
      <c r="AE10" s="12">
        <v>23181136</v>
      </c>
      <c r="AF10" s="12">
        <v>30343385</v>
      </c>
      <c r="AG10" s="12">
        <v>35067784</v>
      </c>
      <c r="AH10" s="12">
        <v>10490047</v>
      </c>
      <c r="AI10" s="12">
        <f t="shared" si="0"/>
        <v>1009954174.29</v>
      </c>
    </row>
    <row r="11" spans="1:35" s="9" customFormat="1" x14ac:dyDescent="0.25">
      <c r="A11" s="4" t="s">
        <v>249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 x14ac:dyDescent="0.25">
      <c r="A12" s="29" t="s">
        <v>250</v>
      </c>
      <c r="B12" s="11">
        <v>1693113</v>
      </c>
      <c r="C12" s="11">
        <v>2470321</v>
      </c>
      <c r="D12" s="11"/>
      <c r="E12" s="11">
        <v>36359577</v>
      </c>
      <c r="F12" s="11">
        <v>7918900</v>
      </c>
      <c r="G12" s="11">
        <v>9520784</v>
      </c>
      <c r="H12" s="11">
        <v>930563</v>
      </c>
      <c r="I12" s="11"/>
      <c r="J12" s="11"/>
      <c r="K12" s="11">
        <v>7126903.7000000002</v>
      </c>
      <c r="L12" s="11">
        <v>21378240</v>
      </c>
      <c r="M12" s="11">
        <v>5050606</v>
      </c>
      <c r="N12" s="11">
        <v>63799789</v>
      </c>
      <c r="O12" s="11">
        <v>22695203</v>
      </c>
      <c r="P12" s="11">
        <v>1777573</v>
      </c>
      <c r="Q12" s="11">
        <v>7446079</v>
      </c>
      <c r="R12" s="11">
        <v>3276925</v>
      </c>
      <c r="S12" s="11">
        <v>1985379</v>
      </c>
      <c r="T12" s="11">
        <v>3755653</v>
      </c>
      <c r="U12" s="11"/>
      <c r="V12" s="11">
        <v>3014650</v>
      </c>
      <c r="W12" s="11"/>
      <c r="X12" s="11"/>
      <c r="Y12" s="11">
        <v>1162374</v>
      </c>
      <c r="Z12" s="11">
        <v>16021048</v>
      </c>
      <c r="AA12" s="11">
        <v>10086275</v>
      </c>
      <c r="AB12" s="11">
        <v>11521464</v>
      </c>
      <c r="AC12" s="11">
        <v>19786758</v>
      </c>
      <c r="AD12" s="11"/>
      <c r="AE12" s="11"/>
      <c r="AF12" s="11">
        <v>26946588</v>
      </c>
      <c r="AG12" s="11"/>
      <c r="AH12" s="11">
        <v>8385994</v>
      </c>
      <c r="AI12" s="12">
        <f t="shared" ref="AI12:AI28" si="2">SUM(B12:AH12)</f>
        <v>294110759.69999999</v>
      </c>
    </row>
    <row r="13" spans="1:35" x14ac:dyDescent="0.25">
      <c r="A13" s="29" t="s">
        <v>251</v>
      </c>
      <c r="B13" s="11">
        <v>2503450</v>
      </c>
      <c r="C13" s="11">
        <v>6562470</v>
      </c>
      <c r="D13" s="11"/>
      <c r="E13" s="11">
        <v>154265871</v>
      </c>
      <c r="F13" s="11">
        <v>43602900</v>
      </c>
      <c r="G13" s="11">
        <v>85817622</v>
      </c>
      <c r="H13" s="11">
        <v>2006191</v>
      </c>
      <c r="I13" s="11"/>
      <c r="J13" s="11"/>
      <c r="K13" s="11">
        <v>31982675.34</v>
      </c>
      <c r="L13" s="11">
        <v>101650421</v>
      </c>
      <c r="M13" s="11">
        <v>15151817</v>
      </c>
      <c r="N13" s="11">
        <v>217380260</v>
      </c>
      <c r="O13" s="11">
        <v>82024884</v>
      </c>
      <c r="P13" s="11">
        <v>5644929</v>
      </c>
      <c r="Q13" s="11">
        <v>20220428</v>
      </c>
      <c r="R13" s="11">
        <v>20591182</v>
      </c>
      <c r="S13" s="11">
        <v>3939572</v>
      </c>
      <c r="T13" s="11">
        <v>7425875</v>
      </c>
      <c r="U13" s="11">
        <v>240329786</v>
      </c>
      <c r="V13" s="11">
        <v>1854171</v>
      </c>
      <c r="W13" s="11"/>
      <c r="X13" s="11"/>
      <c r="Y13" s="8">
        <v>3563146</v>
      </c>
      <c r="Z13" s="11">
        <v>95645233</v>
      </c>
      <c r="AA13" s="11">
        <v>12688016</v>
      </c>
      <c r="AB13" s="11">
        <v>49236860</v>
      </c>
      <c r="AC13" s="11">
        <v>57465662</v>
      </c>
      <c r="AD13" s="11"/>
      <c r="AE13" s="11"/>
      <c r="AF13" s="11">
        <v>107318688</v>
      </c>
      <c r="AG13" s="11"/>
      <c r="AH13" s="11">
        <v>22738182</v>
      </c>
      <c r="AI13" s="12">
        <f t="shared" si="2"/>
        <v>1391610291.3399999</v>
      </c>
    </row>
    <row r="14" spans="1:35" s="45" customFormat="1" x14ac:dyDescent="0.25">
      <c r="A14" s="20" t="s">
        <v>252</v>
      </c>
      <c r="B14" s="44">
        <f>B12+B13</f>
        <v>4196563</v>
      </c>
      <c r="C14" s="44">
        <f t="shared" ref="C14:AH14" si="3">C12+C13</f>
        <v>9032791</v>
      </c>
      <c r="D14" s="44">
        <v>78074097</v>
      </c>
      <c r="E14" s="44">
        <f t="shared" si="3"/>
        <v>190625448</v>
      </c>
      <c r="F14" s="44">
        <f t="shared" si="3"/>
        <v>51521800</v>
      </c>
      <c r="G14" s="44">
        <f t="shared" si="3"/>
        <v>95338406</v>
      </c>
      <c r="H14" s="44">
        <f t="shared" si="3"/>
        <v>2936754</v>
      </c>
      <c r="I14" s="44">
        <v>113492988.48999999</v>
      </c>
      <c r="J14" s="44">
        <v>46287726</v>
      </c>
      <c r="K14" s="44">
        <f t="shared" si="3"/>
        <v>39109579.039999999</v>
      </c>
      <c r="L14" s="44">
        <f t="shared" si="3"/>
        <v>123028661</v>
      </c>
      <c r="M14" s="44"/>
      <c r="N14" s="44">
        <f t="shared" si="3"/>
        <v>281180049</v>
      </c>
      <c r="O14" s="44">
        <f t="shared" si="3"/>
        <v>104720087</v>
      </c>
      <c r="P14" s="44">
        <f t="shared" si="3"/>
        <v>7422502</v>
      </c>
      <c r="Q14" s="44">
        <f t="shared" si="3"/>
        <v>27666507</v>
      </c>
      <c r="R14" s="44">
        <f t="shared" si="3"/>
        <v>23868107</v>
      </c>
      <c r="S14" s="44">
        <f t="shared" si="3"/>
        <v>5924951</v>
      </c>
      <c r="T14" s="44">
        <f t="shared" si="3"/>
        <v>11181528</v>
      </c>
      <c r="U14" s="44">
        <f t="shared" si="3"/>
        <v>240329786</v>
      </c>
      <c r="V14" s="44">
        <f t="shared" si="3"/>
        <v>4868821</v>
      </c>
      <c r="W14" s="44">
        <v>561366119</v>
      </c>
      <c r="X14" s="44">
        <v>225162226</v>
      </c>
      <c r="Y14" s="44">
        <f t="shared" si="3"/>
        <v>4725520</v>
      </c>
      <c r="Z14" s="44">
        <f t="shared" si="3"/>
        <v>111666281</v>
      </c>
      <c r="AA14" s="44">
        <f t="shared" si="3"/>
        <v>22774291</v>
      </c>
      <c r="AB14" s="44">
        <f t="shared" si="3"/>
        <v>60758324</v>
      </c>
      <c r="AC14" s="44">
        <f t="shared" si="3"/>
        <v>77252420</v>
      </c>
      <c r="AD14" s="44">
        <v>95853299</v>
      </c>
      <c r="AE14" s="44">
        <v>46420729</v>
      </c>
      <c r="AF14" s="44">
        <f t="shared" si="3"/>
        <v>134265276</v>
      </c>
      <c r="AG14" s="44">
        <v>296788706</v>
      </c>
      <c r="AH14" s="44">
        <f t="shared" si="3"/>
        <v>31124176</v>
      </c>
      <c r="AI14" s="12">
        <f t="shared" si="2"/>
        <v>3128964518.5299997</v>
      </c>
    </row>
    <row r="15" spans="1:35" x14ac:dyDescent="0.25">
      <c r="A15" s="29" t="s">
        <v>253</v>
      </c>
      <c r="B15" s="11"/>
      <c r="C15" s="11"/>
      <c r="D15" s="11">
        <v>138240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>
        <v>44987</v>
      </c>
      <c r="S15" s="11"/>
      <c r="T15" s="11"/>
      <c r="U15" s="11">
        <v>368593</v>
      </c>
      <c r="V15" s="11"/>
      <c r="W15" s="11">
        <v>3116964</v>
      </c>
      <c r="X15" s="11">
        <v>1456697</v>
      </c>
      <c r="Y15" s="11"/>
      <c r="Z15" s="11"/>
      <c r="AA15" s="11"/>
      <c r="AB15" s="11"/>
      <c r="AC15" s="11"/>
      <c r="AD15" s="11"/>
      <c r="AE15" s="11"/>
      <c r="AF15" s="11"/>
      <c r="AG15" s="11">
        <v>1738741</v>
      </c>
      <c r="AH15" s="11"/>
      <c r="AI15" s="12">
        <f t="shared" si="2"/>
        <v>6864222</v>
      </c>
    </row>
    <row r="16" spans="1:35" x14ac:dyDescent="0.25">
      <c r="A16" s="29" t="s">
        <v>254</v>
      </c>
      <c r="B16" s="11">
        <v>64150</v>
      </c>
      <c r="C16" s="11">
        <v>759445</v>
      </c>
      <c r="D16" s="11">
        <v>2452392</v>
      </c>
      <c r="E16" s="11">
        <v>4282093</v>
      </c>
      <c r="F16" s="11">
        <v>186023</v>
      </c>
      <c r="G16" s="11">
        <v>695395</v>
      </c>
      <c r="H16" s="11">
        <v>131801</v>
      </c>
      <c r="I16" s="11">
        <v>2935815.97</v>
      </c>
      <c r="J16" s="11">
        <v>252272</v>
      </c>
      <c r="K16" s="11">
        <v>884156.37</v>
      </c>
      <c r="L16" s="11">
        <v>2431091</v>
      </c>
      <c r="M16" s="11">
        <v>409140</v>
      </c>
      <c r="N16" s="11">
        <v>6595051</v>
      </c>
      <c r="O16" s="11">
        <v>706566</v>
      </c>
      <c r="P16" s="11">
        <v>71793</v>
      </c>
      <c r="Q16" s="11">
        <v>252202</v>
      </c>
      <c r="R16" s="11">
        <v>263800</v>
      </c>
      <c r="S16" s="11">
        <v>245072</v>
      </c>
      <c r="T16" s="11">
        <v>384089</v>
      </c>
      <c r="U16" s="11">
        <v>3648725.7460440481</v>
      </c>
      <c r="V16" s="11">
        <v>516468</v>
      </c>
      <c r="W16" s="11">
        <v>4701343</v>
      </c>
      <c r="X16" s="11">
        <v>5850067</v>
      </c>
      <c r="Y16" s="11">
        <v>49639</v>
      </c>
      <c r="Z16" s="11">
        <v>383476</v>
      </c>
      <c r="AA16" s="11">
        <v>510662</v>
      </c>
      <c r="AB16" s="11">
        <v>305705</v>
      </c>
      <c r="AC16" s="11">
        <v>1003446</v>
      </c>
      <c r="AD16" s="11">
        <v>481355</v>
      </c>
      <c r="AE16" s="11">
        <v>897208</v>
      </c>
      <c r="AF16" s="11">
        <v>2102896</v>
      </c>
      <c r="AG16" s="11">
        <v>2643195</v>
      </c>
      <c r="AH16" s="11">
        <v>391036</v>
      </c>
      <c r="AI16" s="12">
        <f t="shared" si="2"/>
        <v>47487569.086044043</v>
      </c>
    </row>
    <row r="17" spans="1:35" x14ac:dyDescent="0.25">
      <c r="A17" s="29" t="s">
        <v>255</v>
      </c>
      <c r="B17" s="11"/>
      <c r="C17" s="11"/>
      <c r="D17" s="11">
        <v>63377</v>
      </c>
      <c r="E17" s="11">
        <v>874443</v>
      </c>
      <c r="F17" s="11"/>
      <c r="G17" s="11">
        <v>1878167</v>
      </c>
      <c r="H17" s="11"/>
      <c r="I17" s="11">
        <v>412881.21</v>
      </c>
      <c r="J17" s="11">
        <v>364794</v>
      </c>
      <c r="K17" s="11"/>
      <c r="L17" s="11">
        <v>438401</v>
      </c>
      <c r="M17" s="11">
        <v>149806</v>
      </c>
      <c r="N17" s="11">
        <v>3643223</v>
      </c>
      <c r="O17" s="11">
        <v>446700</v>
      </c>
      <c r="P17" s="11"/>
      <c r="Q17" s="11"/>
      <c r="R17" s="11">
        <v>204235</v>
      </c>
      <c r="S17" s="11"/>
      <c r="T17" s="11"/>
      <c r="U17" s="11"/>
      <c r="V17" s="11"/>
      <c r="W17" s="11">
        <v>2546855</v>
      </c>
      <c r="X17" s="11"/>
      <c r="Y17" s="11">
        <v>62568</v>
      </c>
      <c r="Z17" s="11">
        <v>372735</v>
      </c>
      <c r="AA17" s="11"/>
      <c r="AB17" s="11">
        <v>357470</v>
      </c>
      <c r="AC17" s="11">
        <v>178158</v>
      </c>
      <c r="AD17" s="11">
        <v>61221</v>
      </c>
      <c r="AE17" s="11">
        <v>70014</v>
      </c>
      <c r="AF17" s="11">
        <v>326029</v>
      </c>
      <c r="AG17" s="11"/>
      <c r="AH17" s="11">
        <v>29120</v>
      </c>
      <c r="AI17" s="12">
        <f t="shared" si="2"/>
        <v>12480197.210000001</v>
      </c>
    </row>
    <row r="18" spans="1:35" x14ac:dyDescent="0.25">
      <c r="A18" s="20" t="s">
        <v>256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2">
        <f t="shared" si="2"/>
        <v>0</v>
      </c>
    </row>
    <row r="19" spans="1:35" x14ac:dyDescent="0.25">
      <c r="A19" s="29" t="s">
        <v>257</v>
      </c>
      <c r="B19" s="11">
        <v>83544</v>
      </c>
      <c r="C19" s="11">
        <v>340455</v>
      </c>
      <c r="D19" s="11">
        <v>53730469</v>
      </c>
      <c r="E19" s="11">
        <v>5489533</v>
      </c>
      <c r="F19" s="11">
        <v>184801</v>
      </c>
      <c r="G19" s="11">
        <v>346333</v>
      </c>
      <c r="H19" s="11">
        <v>73239</v>
      </c>
      <c r="I19" s="11">
        <v>12277538.460000001</v>
      </c>
      <c r="J19" s="11">
        <v>480034</v>
      </c>
      <c r="K19" s="11">
        <v>333026.84000000003</v>
      </c>
      <c r="L19" s="11">
        <v>3399983</v>
      </c>
      <c r="M19" s="11">
        <v>367859</v>
      </c>
      <c r="N19" s="11">
        <v>500932</v>
      </c>
      <c r="O19" s="11">
        <v>1971562</v>
      </c>
      <c r="P19" s="11">
        <v>120674</v>
      </c>
      <c r="Q19" s="11">
        <v>111751</v>
      </c>
      <c r="R19" s="11">
        <v>168035</v>
      </c>
      <c r="S19" s="11">
        <v>276036</v>
      </c>
      <c r="T19" s="11">
        <v>154876</v>
      </c>
      <c r="U19" s="11">
        <v>7380438</v>
      </c>
      <c r="V19" s="11">
        <v>56943</v>
      </c>
      <c r="W19" s="11">
        <v>121460656</v>
      </c>
      <c r="X19" s="11">
        <v>24850992</v>
      </c>
      <c r="Y19" s="11">
        <v>282369</v>
      </c>
      <c r="Z19" s="11">
        <v>2486550</v>
      </c>
      <c r="AA19" s="11">
        <v>308354</v>
      </c>
      <c r="AB19" s="11">
        <v>402282</v>
      </c>
      <c r="AC19" s="11">
        <v>796403</v>
      </c>
      <c r="AD19" s="11">
        <v>522728</v>
      </c>
      <c r="AE19" s="11">
        <v>5712378</v>
      </c>
      <c r="AF19" s="11">
        <v>2142836</v>
      </c>
      <c r="AG19" s="11">
        <v>27403793</v>
      </c>
      <c r="AH19" s="11">
        <v>911721</v>
      </c>
      <c r="AI19" s="12">
        <f t="shared" si="2"/>
        <v>275129124.30000001</v>
      </c>
    </row>
    <row r="20" spans="1:35" x14ac:dyDescent="0.25">
      <c r="A20" s="29" t="s">
        <v>258</v>
      </c>
      <c r="B20" s="11">
        <v>566493</v>
      </c>
      <c r="C20" s="11">
        <v>1104295</v>
      </c>
      <c r="D20" s="11">
        <v>29884685</v>
      </c>
      <c r="E20" s="11">
        <v>20939063</v>
      </c>
      <c r="F20" s="11">
        <v>7849127</v>
      </c>
      <c r="G20" s="11">
        <v>10856975</v>
      </c>
      <c r="H20" s="11">
        <v>481597</v>
      </c>
      <c r="I20" s="11">
        <v>9892893.2899999991</v>
      </c>
      <c r="J20" s="11">
        <v>6060153</v>
      </c>
      <c r="K20" s="11">
        <v>3161136.78</v>
      </c>
      <c r="L20" s="11">
        <v>13984525</v>
      </c>
      <c r="M20" s="11">
        <v>1737994</v>
      </c>
      <c r="N20" s="11">
        <v>77401976</v>
      </c>
      <c r="O20" s="11">
        <v>24699664</v>
      </c>
      <c r="P20" s="11">
        <v>429710</v>
      </c>
      <c r="Q20" s="11">
        <v>2556068</v>
      </c>
      <c r="R20" s="11">
        <v>1885939</v>
      </c>
      <c r="S20" s="11">
        <v>452903</v>
      </c>
      <c r="T20" s="11">
        <v>1077028</v>
      </c>
      <c r="U20" s="11">
        <v>88028831</v>
      </c>
      <c r="V20" s="11">
        <v>315687</v>
      </c>
      <c r="W20" s="11">
        <v>99934014</v>
      </c>
      <c r="X20" s="11">
        <v>120215420</v>
      </c>
      <c r="Y20" s="11">
        <v>299203</v>
      </c>
      <c r="Z20" s="11">
        <v>18024451</v>
      </c>
      <c r="AA20" s="11">
        <v>1278325</v>
      </c>
      <c r="AB20" s="11">
        <v>9041196</v>
      </c>
      <c r="AC20" s="11">
        <v>14408844</v>
      </c>
      <c r="AD20" s="11">
        <v>5038149</v>
      </c>
      <c r="AE20" s="11">
        <v>8273757</v>
      </c>
      <c r="AF20" s="11">
        <v>9544116</v>
      </c>
      <c r="AG20" s="11">
        <v>71013796</v>
      </c>
      <c r="AH20" s="11">
        <v>5960171</v>
      </c>
      <c r="AI20" s="12">
        <f t="shared" si="2"/>
        <v>666398185.06999993</v>
      </c>
    </row>
    <row r="21" spans="1:35" s="45" customFormat="1" x14ac:dyDescent="0.25">
      <c r="A21" s="20" t="s">
        <v>259</v>
      </c>
      <c r="B21" s="44">
        <f>B19+B20</f>
        <v>650037</v>
      </c>
      <c r="C21" s="44">
        <f t="shared" ref="C21:AH21" si="4">C19+C20</f>
        <v>1444750</v>
      </c>
      <c r="D21" s="44">
        <f t="shared" si="4"/>
        <v>83615154</v>
      </c>
      <c r="E21" s="44">
        <f t="shared" si="4"/>
        <v>26428596</v>
      </c>
      <c r="F21" s="44">
        <f t="shared" si="4"/>
        <v>8033928</v>
      </c>
      <c r="G21" s="44">
        <f t="shared" si="4"/>
        <v>11203308</v>
      </c>
      <c r="H21" s="44">
        <f t="shared" si="4"/>
        <v>554836</v>
      </c>
      <c r="I21" s="44">
        <f t="shared" si="4"/>
        <v>22170431.75</v>
      </c>
      <c r="J21" s="44">
        <f t="shared" si="4"/>
        <v>6540187</v>
      </c>
      <c r="K21" s="44">
        <f t="shared" si="4"/>
        <v>3494163.6199999996</v>
      </c>
      <c r="L21" s="44">
        <f t="shared" si="4"/>
        <v>17384508</v>
      </c>
      <c r="M21" s="44">
        <f t="shared" si="4"/>
        <v>2105853</v>
      </c>
      <c r="N21" s="44">
        <f t="shared" si="4"/>
        <v>77902908</v>
      </c>
      <c r="O21" s="44">
        <f t="shared" si="4"/>
        <v>26671226</v>
      </c>
      <c r="P21" s="44">
        <f t="shared" si="4"/>
        <v>550384</v>
      </c>
      <c r="Q21" s="44">
        <f t="shared" si="4"/>
        <v>2667819</v>
      </c>
      <c r="R21" s="44">
        <f t="shared" si="4"/>
        <v>2053974</v>
      </c>
      <c r="S21" s="44">
        <f t="shared" si="4"/>
        <v>728939</v>
      </c>
      <c r="T21" s="44">
        <f t="shared" si="4"/>
        <v>1231904</v>
      </c>
      <c r="U21" s="44">
        <f t="shared" si="4"/>
        <v>95409269</v>
      </c>
      <c r="V21" s="44">
        <f t="shared" si="4"/>
        <v>372630</v>
      </c>
      <c r="W21" s="44">
        <f t="shared" si="4"/>
        <v>221394670</v>
      </c>
      <c r="X21" s="44">
        <f t="shared" si="4"/>
        <v>145066412</v>
      </c>
      <c r="Y21" s="44">
        <f t="shared" si="4"/>
        <v>581572</v>
      </c>
      <c r="Z21" s="44">
        <f t="shared" si="4"/>
        <v>20511001</v>
      </c>
      <c r="AA21" s="44">
        <f t="shared" si="4"/>
        <v>1586679</v>
      </c>
      <c r="AB21" s="44">
        <f t="shared" si="4"/>
        <v>9443478</v>
      </c>
      <c r="AC21" s="44">
        <f t="shared" si="4"/>
        <v>15205247</v>
      </c>
      <c r="AD21" s="44">
        <f t="shared" si="4"/>
        <v>5560877</v>
      </c>
      <c r="AE21" s="44">
        <f t="shared" si="4"/>
        <v>13986135</v>
      </c>
      <c r="AF21" s="44">
        <f t="shared" si="4"/>
        <v>11686952</v>
      </c>
      <c r="AG21" s="44">
        <f t="shared" si="4"/>
        <v>98417589</v>
      </c>
      <c r="AH21" s="44">
        <f t="shared" si="4"/>
        <v>6871892</v>
      </c>
      <c r="AI21" s="12">
        <f t="shared" si="2"/>
        <v>941527309.37</v>
      </c>
    </row>
    <row r="22" spans="1:35" x14ac:dyDescent="0.25">
      <c r="A22" s="29" t="s">
        <v>260</v>
      </c>
      <c r="B22" s="11">
        <v>2138439</v>
      </c>
      <c r="C22" s="11">
        <v>4221028</v>
      </c>
      <c r="D22" s="11">
        <v>110692521</v>
      </c>
      <c r="E22" s="11">
        <v>120577172</v>
      </c>
      <c r="F22" s="11">
        <v>41049509</v>
      </c>
      <c r="G22" s="11">
        <v>70254569</v>
      </c>
      <c r="H22" s="11">
        <v>1673560</v>
      </c>
      <c r="I22" s="11">
        <v>74752127.849999994</v>
      </c>
      <c r="J22" s="11">
        <v>32245990</v>
      </c>
      <c r="K22" s="11">
        <v>23226267.969999999</v>
      </c>
      <c r="L22" s="11">
        <v>84830434</v>
      </c>
      <c r="M22" s="11">
        <v>6236904</v>
      </c>
      <c r="N22" s="11">
        <v>241646922</v>
      </c>
      <c r="O22" s="11">
        <v>84993876</v>
      </c>
      <c r="P22" s="11">
        <v>3712149</v>
      </c>
      <c r="Q22" s="11">
        <v>16180171</v>
      </c>
      <c r="R22" s="11">
        <v>17993776</v>
      </c>
      <c r="S22" s="11">
        <v>1699963</v>
      </c>
      <c r="T22" s="11">
        <v>4064103</v>
      </c>
      <c r="U22" s="11">
        <v>300004114</v>
      </c>
      <c r="V22" s="11">
        <v>1215779</v>
      </c>
      <c r="W22" s="11">
        <v>359564042</v>
      </c>
      <c r="X22" s="11">
        <v>266452073</v>
      </c>
      <c r="Y22" s="11">
        <v>3091920</v>
      </c>
      <c r="Z22" s="11">
        <v>96381607</v>
      </c>
      <c r="AA22" s="11">
        <v>7514210</v>
      </c>
      <c r="AB22" s="11">
        <v>46700036</v>
      </c>
      <c r="AC22" s="11">
        <v>48019221</v>
      </c>
      <c r="AD22" s="11">
        <v>71995048</v>
      </c>
      <c r="AE22" s="11">
        <v>10820200</v>
      </c>
      <c r="AF22" s="11">
        <v>91095423</v>
      </c>
      <c r="AG22" s="11">
        <v>285996900</v>
      </c>
      <c r="AH22" s="11">
        <v>20254781</v>
      </c>
      <c r="AI22" s="12">
        <f t="shared" si="2"/>
        <v>2551294835.8200002</v>
      </c>
    </row>
    <row r="23" spans="1:35" x14ac:dyDescent="0.25">
      <c r="A23" s="29" t="s">
        <v>70</v>
      </c>
      <c r="B23" s="11">
        <v>782250</v>
      </c>
      <c r="C23" s="11">
        <v>4173024</v>
      </c>
      <c r="D23" s="11">
        <v>11550387</v>
      </c>
      <c r="E23" s="11">
        <v>38885616</v>
      </c>
      <c r="F23" s="11">
        <v>8608302</v>
      </c>
      <c r="G23" s="11">
        <v>20849721</v>
      </c>
      <c r="H23" s="11">
        <v>917713</v>
      </c>
      <c r="I23" s="11">
        <v>7292404.9100000001</v>
      </c>
      <c r="J23" s="11">
        <v>11024199</v>
      </c>
      <c r="K23" s="11">
        <v>8504059.7599999998</v>
      </c>
      <c r="L23" s="11">
        <v>29559069</v>
      </c>
      <c r="M23" s="11">
        <v>10011484</v>
      </c>
      <c r="N23" s="11">
        <v>57863372</v>
      </c>
      <c r="O23" s="11">
        <v>21438848</v>
      </c>
      <c r="P23" s="11">
        <v>2558596</v>
      </c>
      <c r="Q23" s="11">
        <v>6711169</v>
      </c>
      <c r="R23" s="11">
        <v>4280587</v>
      </c>
      <c r="S23" s="11">
        <v>2904302</v>
      </c>
      <c r="T23" s="11">
        <v>5172101</v>
      </c>
      <c r="U23" s="11">
        <v>50950918</v>
      </c>
      <c r="V23" s="11">
        <v>885861</v>
      </c>
      <c r="W23" s="11">
        <v>139052317</v>
      </c>
      <c r="X23" s="11">
        <v>66850423</v>
      </c>
      <c r="Y23" s="11">
        <v>977927</v>
      </c>
      <c r="Z23" s="11">
        <v>15721020</v>
      </c>
      <c r="AA23" s="11">
        <v>8055368</v>
      </c>
      <c r="AB23" s="11">
        <v>10871041</v>
      </c>
      <c r="AC23" s="11">
        <v>22510736</v>
      </c>
      <c r="AD23" s="11">
        <v>11489082</v>
      </c>
      <c r="AE23" s="11">
        <v>27372749</v>
      </c>
      <c r="AF23" s="11">
        <v>26942345</v>
      </c>
      <c r="AG23" s="11">
        <v>78523547</v>
      </c>
      <c r="AH23" s="11">
        <v>7671396</v>
      </c>
      <c r="AI23" s="12">
        <f t="shared" si="2"/>
        <v>720961934.67000008</v>
      </c>
    </row>
    <row r="24" spans="1:35" s="45" customFormat="1" x14ac:dyDescent="0.25">
      <c r="A24" s="20" t="s">
        <v>261</v>
      </c>
      <c r="B24" s="44">
        <f>B22+B23</f>
        <v>2920689</v>
      </c>
      <c r="C24" s="44">
        <f t="shared" ref="C24:AH24" si="5">C22+C23</f>
        <v>8394052</v>
      </c>
      <c r="D24" s="44">
        <f t="shared" si="5"/>
        <v>122242908</v>
      </c>
      <c r="E24" s="44">
        <f t="shared" si="5"/>
        <v>159462788</v>
      </c>
      <c r="F24" s="44">
        <f t="shared" si="5"/>
        <v>49657811</v>
      </c>
      <c r="G24" s="44">
        <f t="shared" si="5"/>
        <v>91104290</v>
      </c>
      <c r="H24" s="44">
        <f t="shared" si="5"/>
        <v>2591273</v>
      </c>
      <c r="I24" s="44">
        <f t="shared" si="5"/>
        <v>82044532.75999999</v>
      </c>
      <c r="J24" s="44">
        <f t="shared" si="5"/>
        <v>43270189</v>
      </c>
      <c r="K24" s="44">
        <f t="shared" si="5"/>
        <v>31730327.729999997</v>
      </c>
      <c r="L24" s="44">
        <f t="shared" si="5"/>
        <v>114389503</v>
      </c>
      <c r="M24" s="44">
        <f t="shared" si="5"/>
        <v>16248388</v>
      </c>
      <c r="N24" s="44">
        <f t="shared" si="5"/>
        <v>299510294</v>
      </c>
      <c r="O24" s="44">
        <f t="shared" si="5"/>
        <v>106432724</v>
      </c>
      <c r="P24" s="44">
        <f t="shared" si="5"/>
        <v>6270745</v>
      </c>
      <c r="Q24" s="44">
        <f t="shared" si="5"/>
        <v>22891340</v>
      </c>
      <c r="R24" s="44">
        <f t="shared" si="5"/>
        <v>22274363</v>
      </c>
      <c r="S24" s="44">
        <f t="shared" si="5"/>
        <v>4604265</v>
      </c>
      <c r="T24" s="44">
        <f t="shared" si="5"/>
        <v>9236204</v>
      </c>
      <c r="U24" s="44">
        <f t="shared" si="5"/>
        <v>350955032</v>
      </c>
      <c r="V24" s="44">
        <f t="shared" si="5"/>
        <v>2101640</v>
      </c>
      <c r="W24" s="44">
        <f t="shared" si="5"/>
        <v>498616359</v>
      </c>
      <c r="X24" s="44">
        <f t="shared" si="5"/>
        <v>333302496</v>
      </c>
      <c r="Y24" s="44">
        <f t="shared" si="5"/>
        <v>4069847</v>
      </c>
      <c r="Z24" s="44">
        <f t="shared" si="5"/>
        <v>112102627</v>
      </c>
      <c r="AA24" s="44">
        <f t="shared" si="5"/>
        <v>15569578</v>
      </c>
      <c r="AB24" s="44">
        <f t="shared" si="5"/>
        <v>57571077</v>
      </c>
      <c r="AC24" s="44">
        <f t="shared" si="5"/>
        <v>70529957</v>
      </c>
      <c r="AD24" s="44">
        <f t="shared" si="5"/>
        <v>83484130</v>
      </c>
      <c r="AE24" s="44">
        <f t="shared" si="5"/>
        <v>38192949</v>
      </c>
      <c r="AF24" s="44">
        <f t="shared" si="5"/>
        <v>118037768</v>
      </c>
      <c r="AG24" s="44">
        <f t="shared" si="5"/>
        <v>364520447</v>
      </c>
      <c r="AH24" s="44">
        <f t="shared" si="5"/>
        <v>27926177</v>
      </c>
      <c r="AI24" s="12">
        <f t="shared" si="2"/>
        <v>3272256770.4899998</v>
      </c>
    </row>
    <row r="25" spans="1:35" s="9" customFormat="1" x14ac:dyDescent="0.25">
      <c r="A25" s="4" t="s">
        <v>262</v>
      </c>
      <c r="B25" s="12">
        <f>B21-B24</f>
        <v>-2270652</v>
      </c>
      <c r="C25" s="12">
        <f t="shared" ref="C25:AH25" si="6">C21-C24</f>
        <v>-6949302</v>
      </c>
      <c r="D25" s="12">
        <f t="shared" si="6"/>
        <v>-38627754</v>
      </c>
      <c r="E25" s="12">
        <f t="shared" si="6"/>
        <v>-133034192</v>
      </c>
      <c r="F25" s="12">
        <f t="shared" si="6"/>
        <v>-41623883</v>
      </c>
      <c r="G25" s="12">
        <f t="shared" si="6"/>
        <v>-79900982</v>
      </c>
      <c r="H25" s="12">
        <f t="shared" si="6"/>
        <v>-2036437</v>
      </c>
      <c r="I25" s="12">
        <f t="shared" si="6"/>
        <v>-59874101.00999999</v>
      </c>
      <c r="J25" s="12">
        <f t="shared" si="6"/>
        <v>-36730002</v>
      </c>
      <c r="K25" s="12">
        <f t="shared" si="6"/>
        <v>-28236164.109999996</v>
      </c>
      <c r="L25" s="12">
        <f t="shared" si="6"/>
        <v>-97004995</v>
      </c>
      <c r="M25" s="12">
        <f t="shared" si="6"/>
        <v>-14142535</v>
      </c>
      <c r="N25" s="12">
        <f t="shared" si="6"/>
        <v>-221607386</v>
      </c>
      <c r="O25" s="12">
        <f t="shared" si="6"/>
        <v>-79761498</v>
      </c>
      <c r="P25" s="12">
        <f t="shared" si="6"/>
        <v>-5720361</v>
      </c>
      <c r="Q25" s="12">
        <f t="shared" si="6"/>
        <v>-20223521</v>
      </c>
      <c r="R25" s="12">
        <f t="shared" si="6"/>
        <v>-20220389</v>
      </c>
      <c r="S25" s="12">
        <f t="shared" si="6"/>
        <v>-3875326</v>
      </c>
      <c r="T25" s="12">
        <f t="shared" si="6"/>
        <v>-8004300</v>
      </c>
      <c r="U25" s="12">
        <f t="shared" si="6"/>
        <v>-255545763</v>
      </c>
      <c r="V25" s="12">
        <f t="shared" si="6"/>
        <v>-1729010</v>
      </c>
      <c r="W25" s="12">
        <f t="shared" si="6"/>
        <v>-277221689</v>
      </c>
      <c r="X25" s="12">
        <f t="shared" si="6"/>
        <v>-188236084</v>
      </c>
      <c r="Y25" s="12">
        <f t="shared" si="6"/>
        <v>-3488275</v>
      </c>
      <c r="Z25" s="12">
        <f t="shared" si="6"/>
        <v>-91591626</v>
      </c>
      <c r="AA25" s="12">
        <f t="shared" si="6"/>
        <v>-13982899</v>
      </c>
      <c r="AB25" s="12">
        <f t="shared" si="6"/>
        <v>-48127599</v>
      </c>
      <c r="AC25" s="12">
        <f t="shared" si="6"/>
        <v>-55324710</v>
      </c>
      <c r="AD25" s="12">
        <f t="shared" si="6"/>
        <v>-77923253</v>
      </c>
      <c r="AE25" s="12">
        <f t="shared" si="6"/>
        <v>-24206814</v>
      </c>
      <c r="AF25" s="12">
        <f t="shared" si="6"/>
        <v>-106350816</v>
      </c>
      <c r="AG25" s="12">
        <f t="shared" si="6"/>
        <v>-266102858</v>
      </c>
      <c r="AH25" s="12">
        <f t="shared" si="6"/>
        <v>-21054285</v>
      </c>
      <c r="AI25" s="12">
        <f t="shared" si="2"/>
        <v>-2330729461.1199999</v>
      </c>
    </row>
    <row r="26" spans="1:35" ht="30" x14ac:dyDescent="0.25">
      <c r="A26" s="29" t="s">
        <v>263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>
        <v>4732848</v>
      </c>
      <c r="V26" s="11"/>
      <c r="W26" s="11">
        <v>16055310</v>
      </c>
      <c r="X26" s="11">
        <v>10399878</v>
      </c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2">
        <f t="shared" si="2"/>
        <v>31188036</v>
      </c>
    </row>
    <row r="27" spans="1:35" ht="30" x14ac:dyDescent="0.25">
      <c r="A27" s="29" t="s">
        <v>264</v>
      </c>
      <c r="B27" s="11">
        <v>3471213</v>
      </c>
      <c r="C27" s="11">
        <v>8447501</v>
      </c>
      <c r="D27" s="11"/>
      <c r="E27" s="11"/>
      <c r="F27" s="11">
        <v>14776157</v>
      </c>
      <c r="G27" s="11"/>
      <c r="H27" s="11">
        <v>2072084</v>
      </c>
      <c r="I27" s="11"/>
      <c r="J27" s="11"/>
      <c r="K27" s="11">
        <v>4829704.18</v>
      </c>
      <c r="L27" s="11"/>
      <c r="M27" s="11">
        <v>4537331</v>
      </c>
      <c r="N27" s="11"/>
      <c r="O27" s="11"/>
      <c r="P27" s="11">
        <v>1276074</v>
      </c>
      <c r="Q27" s="11">
        <v>9650421</v>
      </c>
      <c r="R27" s="11">
        <v>216409</v>
      </c>
      <c r="S27" s="11">
        <v>8723416</v>
      </c>
      <c r="T27" s="11">
        <v>7699082</v>
      </c>
      <c r="U27" s="11">
        <v>37314810</v>
      </c>
      <c r="V27" s="11">
        <v>1301943</v>
      </c>
      <c r="W27" s="11"/>
      <c r="X27" s="11"/>
      <c r="Y27" s="11">
        <v>721820</v>
      </c>
      <c r="Z27" s="11"/>
      <c r="AA27" s="11">
        <v>1752601</v>
      </c>
      <c r="AB27" s="11"/>
      <c r="AC27" s="11"/>
      <c r="AD27" s="11"/>
      <c r="AE27" s="11"/>
      <c r="AF27" s="11"/>
      <c r="AG27" s="11"/>
      <c r="AH27" s="11"/>
      <c r="AI27" s="12">
        <f t="shared" si="2"/>
        <v>106790566.18000001</v>
      </c>
    </row>
    <row r="28" spans="1:35" s="9" customFormat="1" x14ac:dyDescent="0.25">
      <c r="A28" s="4" t="s">
        <v>52</v>
      </c>
      <c r="B28" s="12">
        <v>5461274</v>
      </c>
      <c r="C28" s="12">
        <v>11290435</v>
      </c>
      <c r="D28" s="12">
        <v>42100352</v>
      </c>
      <c r="E28" s="12">
        <v>62747792</v>
      </c>
      <c r="F28" s="12">
        <v>24860098</v>
      </c>
      <c r="G28" s="12">
        <v>18010986</v>
      </c>
      <c r="H28" s="12">
        <v>3104202</v>
      </c>
      <c r="I28" s="12">
        <v>56967584.659999996</v>
      </c>
      <c r="J28" s="12">
        <v>10174793</v>
      </c>
      <c r="K28" s="12">
        <v>16587275.48</v>
      </c>
      <c r="L28" s="12">
        <v>28893158</v>
      </c>
      <c r="M28" s="12">
        <v>11156165</v>
      </c>
      <c r="N28" s="12">
        <v>69810937</v>
      </c>
      <c r="O28" s="12">
        <v>26111855</v>
      </c>
      <c r="P28" s="12">
        <v>3050008</v>
      </c>
      <c r="Q28" s="12">
        <v>17345609</v>
      </c>
      <c r="R28" s="12">
        <v>4377149</v>
      </c>
      <c r="S28" s="12">
        <v>11018114</v>
      </c>
      <c r="T28" s="12">
        <v>11260399</v>
      </c>
      <c r="U28" s="12">
        <v>30848999.74604404</v>
      </c>
      <c r="V28" s="12">
        <v>4958222</v>
      </c>
      <c r="W28" s="12">
        <v>310564902</v>
      </c>
      <c r="X28" s="12">
        <v>54632784</v>
      </c>
      <c r="Y28" s="12">
        <v>2071272</v>
      </c>
      <c r="Z28" s="12">
        <v>20830866</v>
      </c>
      <c r="AA28" s="12">
        <v>11054655</v>
      </c>
      <c r="AB28" s="12">
        <v>13293900</v>
      </c>
      <c r="AC28" s="12">
        <v>23109314</v>
      </c>
      <c r="AD28" s="12">
        <v>18472622</v>
      </c>
      <c r="AE28" s="12">
        <v>23181136</v>
      </c>
      <c r="AF28" s="12">
        <v>30343385</v>
      </c>
      <c r="AG28" s="12">
        <v>35067784</v>
      </c>
      <c r="AH28" s="12">
        <v>10490047</v>
      </c>
      <c r="AI28" s="12">
        <f t="shared" si="2"/>
        <v>1023248074.886044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8" customWidth="1"/>
    <col min="2" max="34" width="16" style="8" customWidth="1"/>
    <col min="35" max="35" width="16" style="9" customWidth="1"/>
    <col min="36" max="16384" width="9.140625" style="8"/>
  </cols>
  <sheetData>
    <row r="1" spans="1:35" ht="18.75" x14ac:dyDescent="0.3">
      <c r="A1" s="6" t="s">
        <v>243</v>
      </c>
    </row>
    <row r="2" spans="1:35" x14ac:dyDescent="0.25">
      <c r="A2" s="19" t="s">
        <v>44</v>
      </c>
    </row>
    <row r="3" spans="1:35" x14ac:dyDescent="0.25">
      <c r="A3" s="36" t="s">
        <v>228</v>
      </c>
    </row>
    <row r="4" spans="1:35" x14ac:dyDescent="0.25">
      <c r="A4" s="1" t="s">
        <v>0</v>
      </c>
      <c r="B4" s="73" t="s">
        <v>1</v>
      </c>
      <c r="C4" s="73" t="s">
        <v>2</v>
      </c>
      <c r="D4" s="73" t="s">
        <v>3</v>
      </c>
      <c r="E4" s="73" t="s">
        <v>4</v>
      </c>
      <c r="F4" s="73" t="s">
        <v>5</v>
      </c>
      <c r="G4" s="73" t="s">
        <v>6</v>
      </c>
      <c r="H4" s="73" t="s">
        <v>7</v>
      </c>
      <c r="I4" s="73" t="s">
        <v>8</v>
      </c>
      <c r="J4" s="73" t="s">
        <v>9</v>
      </c>
      <c r="K4" s="73" t="s">
        <v>10</v>
      </c>
      <c r="L4" s="73" t="s">
        <v>11</v>
      </c>
      <c r="M4" s="73" t="s">
        <v>293</v>
      </c>
      <c r="N4" s="73" t="s">
        <v>12</v>
      </c>
      <c r="O4" s="73" t="s">
        <v>13</v>
      </c>
      <c r="P4" s="73" t="s">
        <v>14</v>
      </c>
      <c r="Q4" s="73" t="s">
        <v>15</v>
      </c>
      <c r="R4" s="73" t="s">
        <v>16</v>
      </c>
      <c r="S4" s="73" t="s">
        <v>295</v>
      </c>
      <c r="T4" s="73" t="s">
        <v>17</v>
      </c>
      <c r="U4" s="73" t="s">
        <v>18</v>
      </c>
      <c r="V4" s="73" t="s">
        <v>294</v>
      </c>
      <c r="W4" s="73" t="s">
        <v>19</v>
      </c>
      <c r="X4" s="73" t="s">
        <v>20</v>
      </c>
      <c r="Y4" s="73" t="s">
        <v>21</v>
      </c>
      <c r="Z4" s="73" t="s">
        <v>22</v>
      </c>
      <c r="AA4" s="73" t="s">
        <v>23</v>
      </c>
      <c r="AB4" s="73" t="s">
        <v>24</v>
      </c>
      <c r="AC4" s="73" t="s">
        <v>25</v>
      </c>
      <c r="AD4" s="73" t="s">
        <v>26</v>
      </c>
      <c r="AE4" s="73" t="s">
        <v>27</v>
      </c>
      <c r="AF4" s="73" t="s">
        <v>28</v>
      </c>
      <c r="AG4" s="72" t="s">
        <v>29</v>
      </c>
      <c r="AH4" s="93" t="s">
        <v>30</v>
      </c>
      <c r="AI4" s="93" t="s">
        <v>31</v>
      </c>
    </row>
    <row r="5" spans="1:35" x14ac:dyDescent="0.25">
      <c r="A5" s="11" t="s">
        <v>283</v>
      </c>
      <c r="B5" s="11"/>
      <c r="C5" s="11"/>
      <c r="D5" s="11"/>
      <c r="E5" s="11">
        <v>5536390</v>
      </c>
      <c r="F5" s="11">
        <v>1231136</v>
      </c>
      <c r="G5" s="11">
        <v>1157982</v>
      </c>
      <c r="H5" s="11">
        <v>38753</v>
      </c>
      <c r="I5" s="11"/>
      <c r="J5" s="11">
        <v>1584617</v>
      </c>
      <c r="K5" s="11">
        <v>226814</v>
      </c>
      <c r="L5" s="11">
        <v>4239086</v>
      </c>
      <c r="M5" s="11"/>
      <c r="N5" s="11">
        <v>8474875</v>
      </c>
      <c r="O5" s="11">
        <v>3282216</v>
      </c>
      <c r="P5" s="11">
        <v>51716</v>
      </c>
      <c r="Q5" s="11">
        <v>377693</v>
      </c>
      <c r="R5" s="11">
        <v>303693</v>
      </c>
      <c r="S5" s="11"/>
      <c r="T5" s="11"/>
      <c r="U5" s="11">
        <v>4567643</v>
      </c>
      <c r="V5" s="11">
        <v>5379</v>
      </c>
      <c r="W5" s="11">
        <v>15727088</v>
      </c>
      <c r="X5" s="11">
        <v>6879970</v>
      </c>
      <c r="Y5" s="11">
        <v>26657</v>
      </c>
      <c r="Z5" s="11">
        <v>4084438</v>
      </c>
      <c r="AA5" s="11"/>
      <c r="AB5" s="11">
        <v>1078067</v>
      </c>
      <c r="AC5" s="11">
        <v>3290712</v>
      </c>
      <c r="AD5" s="11">
        <v>80886</v>
      </c>
      <c r="AE5" s="11"/>
      <c r="AF5" s="11">
        <v>5114854</v>
      </c>
      <c r="AG5" s="11">
        <v>6371997</v>
      </c>
      <c r="AH5" s="11">
        <v>1008182</v>
      </c>
      <c r="AI5" s="12">
        <f>SUM(B5:AH5)</f>
        <v>74740844</v>
      </c>
    </row>
    <row r="6" spans="1:35" x14ac:dyDescent="0.25">
      <c r="A6" s="11" t="s">
        <v>286</v>
      </c>
      <c r="B6" s="11"/>
      <c r="C6" s="11"/>
      <c r="D6" s="11"/>
      <c r="E6" s="11">
        <v>208798</v>
      </c>
      <c r="F6" s="11">
        <v>92977</v>
      </c>
      <c r="G6" s="11">
        <v>29485</v>
      </c>
      <c r="H6" s="11">
        <v>33957</v>
      </c>
      <c r="I6" s="11"/>
      <c r="J6" s="11">
        <v>284647</v>
      </c>
      <c r="K6" s="11">
        <v>1674926</v>
      </c>
      <c r="L6" s="11">
        <v>577061</v>
      </c>
      <c r="M6" s="11"/>
      <c r="N6" s="11">
        <v>414322</v>
      </c>
      <c r="O6" s="11">
        <v>397729</v>
      </c>
      <c r="P6" s="11">
        <v>8035</v>
      </c>
      <c r="Q6" s="11">
        <v>35659</v>
      </c>
      <c r="R6" s="11">
        <v>259608</v>
      </c>
      <c r="S6" s="11"/>
      <c r="T6" s="11"/>
      <c r="U6" s="11">
        <v>453673</v>
      </c>
      <c r="V6" s="11">
        <v>967</v>
      </c>
      <c r="W6" s="11">
        <v>3543657</v>
      </c>
      <c r="X6" s="11">
        <v>10702</v>
      </c>
      <c r="Y6" s="11">
        <v>10201</v>
      </c>
      <c r="Z6" s="11">
        <v>319641</v>
      </c>
      <c r="AA6" s="11"/>
      <c r="AB6" s="11">
        <v>245236</v>
      </c>
      <c r="AC6" s="11">
        <v>3407</v>
      </c>
      <c r="AD6" s="11">
        <v>17113</v>
      </c>
      <c r="AE6" s="11"/>
      <c r="AF6" s="11">
        <v>504994</v>
      </c>
      <c r="AG6" s="11">
        <v>252578</v>
      </c>
      <c r="AH6" s="11">
        <v>4993</v>
      </c>
      <c r="AI6" s="12">
        <f>SUM(B6:AH6)</f>
        <v>9384366</v>
      </c>
    </row>
    <row r="7" spans="1:35" x14ac:dyDescent="0.25">
      <c r="A7" s="11" t="s">
        <v>287</v>
      </c>
      <c r="B7" s="11"/>
      <c r="C7" s="11"/>
      <c r="D7" s="11"/>
      <c r="E7" s="11">
        <v>5146510</v>
      </c>
      <c r="F7" s="11">
        <v>1147325</v>
      </c>
      <c r="G7" s="11">
        <v>872639</v>
      </c>
      <c r="H7" s="11">
        <v>67492</v>
      </c>
      <c r="I7" s="11"/>
      <c r="J7" s="11">
        <v>1370252</v>
      </c>
      <c r="K7" s="11">
        <v>1720950</v>
      </c>
      <c r="L7" s="11">
        <v>-3844928</v>
      </c>
      <c r="M7" s="11"/>
      <c r="N7" s="11">
        <v>6691039</v>
      </c>
      <c r="O7" s="11">
        <v>3378175</v>
      </c>
      <c r="P7" s="11">
        <v>39720</v>
      </c>
      <c r="Q7" s="11">
        <v>397611</v>
      </c>
      <c r="R7" s="11">
        <v>-497699</v>
      </c>
      <c r="S7" s="11"/>
      <c r="T7" s="11"/>
      <c r="U7" s="11">
        <v>2007912</v>
      </c>
      <c r="V7" s="11">
        <v>5584</v>
      </c>
      <c r="W7" s="11">
        <v>9707379</v>
      </c>
      <c r="X7" s="11">
        <v>4054505</v>
      </c>
      <c r="Y7" s="11">
        <v>26906</v>
      </c>
      <c r="Z7" s="11">
        <v>3321696</v>
      </c>
      <c r="AA7" s="11"/>
      <c r="AB7" s="11">
        <v>-1151461</v>
      </c>
      <c r="AC7" s="11">
        <v>2416343</v>
      </c>
      <c r="AD7" s="11">
        <v>55460</v>
      </c>
      <c r="AE7" s="11"/>
      <c r="AF7" s="11">
        <v>4589452</v>
      </c>
      <c r="AG7" s="11">
        <v>4027852</v>
      </c>
      <c r="AH7" s="11">
        <v>842729</v>
      </c>
      <c r="AI7" s="12">
        <f>SUM(B7:AH7)</f>
        <v>46393443</v>
      </c>
    </row>
    <row r="8" spans="1:35" x14ac:dyDescent="0.25">
      <c r="A8" s="11" t="s">
        <v>241</v>
      </c>
      <c r="B8" s="11"/>
      <c r="C8" s="11"/>
      <c r="D8" s="11"/>
      <c r="E8" s="11">
        <v>598678</v>
      </c>
      <c r="F8" s="11">
        <v>176788</v>
      </c>
      <c r="G8" s="11">
        <v>314828</v>
      </c>
      <c r="H8" s="11">
        <v>5218</v>
      </c>
      <c r="I8" s="11"/>
      <c r="J8" s="11">
        <v>499012</v>
      </c>
      <c r="K8" s="11">
        <v>180790</v>
      </c>
      <c r="L8" s="11">
        <v>971219</v>
      </c>
      <c r="M8" s="11"/>
      <c r="N8" s="11">
        <v>2198158</v>
      </c>
      <c r="O8" s="11">
        <v>301770</v>
      </c>
      <c r="P8" s="11">
        <v>20031</v>
      </c>
      <c r="Q8" s="11">
        <v>15741</v>
      </c>
      <c r="R8" s="11">
        <v>65602</v>
      </c>
      <c r="S8" s="11"/>
      <c r="T8" s="11"/>
      <c r="U8" s="11">
        <v>3013404</v>
      </c>
      <c r="V8" s="11">
        <v>11930</v>
      </c>
      <c r="W8" s="11">
        <v>9563365</v>
      </c>
      <c r="X8" s="11">
        <v>2836167</v>
      </c>
      <c r="Y8" s="11">
        <v>9952</v>
      </c>
      <c r="Z8" s="11">
        <v>1082383</v>
      </c>
      <c r="AA8" s="11"/>
      <c r="AB8" s="11">
        <v>171842</v>
      </c>
      <c r="AC8" s="11">
        <v>877776</v>
      </c>
      <c r="AD8" s="11">
        <v>42538</v>
      </c>
      <c r="AE8" s="11"/>
      <c r="AF8" s="11">
        <v>1030396</v>
      </c>
      <c r="AG8" s="11">
        <v>2596723</v>
      </c>
      <c r="AH8" s="11">
        <v>170446</v>
      </c>
      <c r="AI8" s="12">
        <f>SUM(B8:AH8)</f>
        <v>26754757</v>
      </c>
    </row>
    <row r="9" spans="1:35" x14ac:dyDescent="0.25">
      <c r="A9" s="11" t="s">
        <v>242</v>
      </c>
      <c r="B9" s="11"/>
      <c r="C9" s="11"/>
      <c r="D9" s="11"/>
      <c r="E9" s="11">
        <v>589620</v>
      </c>
      <c r="F9" s="11">
        <v>39576</v>
      </c>
      <c r="G9" s="11">
        <v>276378</v>
      </c>
      <c r="H9" s="11">
        <v>1094</v>
      </c>
      <c r="I9" s="11"/>
      <c r="J9" s="11">
        <v>276699</v>
      </c>
      <c r="K9" s="11">
        <v>33394</v>
      </c>
      <c r="L9" s="11">
        <v>446657</v>
      </c>
      <c r="M9" s="11"/>
      <c r="N9" s="11">
        <v>960735</v>
      </c>
      <c r="O9" s="11">
        <v>213491</v>
      </c>
      <c r="P9" s="11">
        <v>21876</v>
      </c>
      <c r="Q9" s="11">
        <v>38210</v>
      </c>
      <c r="R9" s="11">
        <v>28548</v>
      </c>
      <c r="S9" s="11"/>
      <c r="T9" s="11"/>
      <c r="U9" s="11">
        <v>2815694.7925890959</v>
      </c>
      <c r="V9" s="11">
        <v>17216</v>
      </c>
      <c r="W9" s="11">
        <v>6921908</v>
      </c>
      <c r="X9" s="11">
        <v>2545413</v>
      </c>
      <c r="Y9" s="11">
        <v>4492</v>
      </c>
      <c r="Z9" s="11">
        <v>521418</v>
      </c>
      <c r="AA9" s="11"/>
      <c r="AB9" s="11">
        <v>86000</v>
      </c>
      <c r="AC9" s="11">
        <v>575157</v>
      </c>
      <c r="AD9" s="11">
        <v>43273</v>
      </c>
      <c r="AE9" s="11"/>
      <c r="AF9" s="11">
        <v>384967</v>
      </c>
      <c r="AG9" s="11">
        <v>2920557</v>
      </c>
      <c r="AH9" s="11">
        <v>148771</v>
      </c>
      <c r="AI9" s="12">
        <f>SUM(B9:AH9)</f>
        <v>19911144.792589098</v>
      </c>
    </row>
    <row r="11" spans="1:35" x14ac:dyDescent="0.25">
      <c r="A11" s="32" t="s">
        <v>229</v>
      </c>
    </row>
    <row r="12" spans="1:35" x14ac:dyDescent="0.25">
      <c r="A12" s="1" t="s">
        <v>0</v>
      </c>
      <c r="B12" s="73" t="s">
        <v>1</v>
      </c>
      <c r="C12" s="73" t="s">
        <v>2</v>
      </c>
      <c r="D12" s="73" t="s">
        <v>3</v>
      </c>
      <c r="E12" s="73" t="s">
        <v>4</v>
      </c>
      <c r="F12" s="73" t="s">
        <v>5</v>
      </c>
      <c r="G12" s="73" t="s">
        <v>6</v>
      </c>
      <c r="H12" s="73" t="s">
        <v>7</v>
      </c>
      <c r="I12" s="73" t="s">
        <v>8</v>
      </c>
      <c r="J12" s="73" t="s">
        <v>9</v>
      </c>
      <c r="K12" s="73" t="s">
        <v>10</v>
      </c>
      <c r="L12" s="73" t="s">
        <v>11</v>
      </c>
      <c r="M12" s="73" t="s">
        <v>293</v>
      </c>
      <c r="N12" s="73" t="s">
        <v>12</v>
      </c>
      <c r="O12" s="73" t="s">
        <v>13</v>
      </c>
      <c r="P12" s="73" t="s">
        <v>14</v>
      </c>
      <c r="Q12" s="73" t="s">
        <v>15</v>
      </c>
      <c r="R12" s="73" t="s">
        <v>16</v>
      </c>
      <c r="S12" s="73" t="s">
        <v>295</v>
      </c>
      <c r="T12" s="73" t="s">
        <v>17</v>
      </c>
      <c r="U12" s="73" t="s">
        <v>18</v>
      </c>
      <c r="V12" s="73" t="s">
        <v>294</v>
      </c>
      <c r="W12" s="73" t="s">
        <v>19</v>
      </c>
      <c r="X12" s="73" t="s">
        <v>20</v>
      </c>
      <c r="Y12" s="73" t="s">
        <v>21</v>
      </c>
      <c r="Z12" s="73" t="s">
        <v>22</v>
      </c>
      <c r="AA12" s="73" t="s">
        <v>23</v>
      </c>
      <c r="AB12" s="73" t="s">
        <v>24</v>
      </c>
      <c r="AC12" s="73" t="s">
        <v>25</v>
      </c>
      <c r="AD12" s="73" t="s">
        <v>26</v>
      </c>
      <c r="AE12" s="73" t="s">
        <v>27</v>
      </c>
      <c r="AF12" s="73" t="s">
        <v>28</v>
      </c>
      <c r="AG12" s="72" t="s">
        <v>29</v>
      </c>
      <c r="AH12" s="93" t="s">
        <v>30</v>
      </c>
      <c r="AI12" s="93" t="s">
        <v>31</v>
      </c>
    </row>
    <row r="13" spans="1:35" x14ac:dyDescent="0.25">
      <c r="A13" s="11" t="s">
        <v>283</v>
      </c>
      <c r="B13" s="11"/>
      <c r="C13" s="11"/>
      <c r="D13" s="11"/>
      <c r="E13" s="11">
        <v>560533</v>
      </c>
      <c r="F13" s="11">
        <v>205824</v>
      </c>
      <c r="G13" s="11">
        <v>162792</v>
      </c>
      <c r="H13" s="11">
        <v>5509</v>
      </c>
      <c r="I13" s="11"/>
      <c r="J13" s="11">
        <v>169849</v>
      </c>
      <c r="K13" s="11">
        <v>10362</v>
      </c>
      <c r="L13" s="11">
        <f>41799+381133</f>
        <v>422932</v>
      </c>
      <c r="M13" s="11"/>
      <c r="N13" s="11">
        <v>1382770</v>
      </c>
      <c r="O13" s="11">
        <v>419861</v>
      </c>
      <c r="P13" s="11"/>
      <c r="Q13" s="11">
        <v>70918</v>
      </c>
      <c r="R13" s="11">
        <v>51252</v>
      </c>
      <c r="S13" s="11"/>
      <c r="T13" s="11"/>
      <c r="U13" s="11">
        <v>481526.13772571197</v>
      </c>
      <c r="V13" s="11"/>
      <c r="W13" s="11">
        <v>1923544</v>
      </c>
      <c r="X13" s="11">
        <v>922219</v>
      </c>
      <c r="Y13" s="11">
        <v>780</v>
      </c>
      <c r="Z13" s="11">
        <v>364095</v>
      </c>
      <c r="AA13" s="11"/>
      <c r="AB13" s="11">
        <v>102289</v>
      </c>
      <c r="AC13" s="11">
        <v>94123</v>
      </c>
      <c r="AD13" s="11">
        <v>2201</v>
      </c>
      <c r="AE13" s="11"/>
      <c r="AF13" s="11">
        <v>845701</v>
      </c>
      <c r="AG13" s="11">
        <v>966875</v>
      </c>
      <c r="AH13" s="11">
        <f>43501+44754</f>
        <v>88255</v>
      </c>
      <c r="AI13" s="12">
        <f>SUM(B13:AH13)</f>
        <v>9254210.1377257109</v>
      </c>
    </row>
    <row r="14" spans="1:35" x14ac:dyDescent="0.25">
      <c r="A14" s="11" t="s">
        <v>286</v>
      </c>
      <c r="B14" s="11"/>
      <c r="C14" s="11"/>
      <c r="D14" s="11"/>
      <c r="E14" s="11"/>
      <c r="F14" s="11">
        <v>4093</v>
      </c>
      <c r="G14" s="11"/>
      <c r="H14" s="11">
        <v>132</v>
      </c>
      <c r="I14" s="11"/>
      <c r="J14" s="11">
        <v>9882</v>
      </c>
      <c r="K14" s="11">
        <v>68</v>
      </c>
      <c r="L14" s="11">
        <v>28887</v>
      </c>
      <c r="M14" s="11"/>
      <c r="N14" s="11">
        <v>58456</v>
      </c>
      <c r="O14" s="11">
        <v>850</v>
      </c>
      <c r="P14" s="11"/>
      <c r="Q14" s="11"/>
      <c r="R14" s="11"/>
      <c r="S14" s="11"/>
      <c r="T14" s="11"/>
      <c r="U14" s="11">
        <v>56174.161790000006</v>
      </c>
      <c r="V14" s="11"/>
      <c r="W14" s="11">
        <v>63285</v>
      </c>
      <c r="X14" s="11">
        <v>8605</v>
      </c>
      <c r="Y14" s="11"/>
      <c r="Z14" s="11"/>
      <c r="AA14" s="11"/>
      <c r="AB14" s="11">
        <v>349</v>
      </c>
      <c r="AC14" s="11">
        <v>1874</v>
      </c>
      <c r="AD14" s="11"/>
      <c r="AE14" s="11"/>
      <c r="AF14" s="11">
        <v>166403</v>
      </c>
      <c r="AG14" s="11">
        <v>30222</v>
      </c>
      <c r="AH14" s="11"/>
      <c r="AI14" s="12">
        <f>SUM(B14:AH14)</f>
        <v>429280.16179000004</v>
      </c>
    </row>
    <row r="15" spans="1:35" x14ac:dyDescent="0.25">
      <c r="A15" s="11" t="s">
        <v>287</v>
      </c>
      <c r="B15" s="11"/>
      <c r="C15" s="11"/>
      <c r="D15" s="11"/>
      <c r="E15" s="11">
        <v>200111</v>
      </c>
      <c r="F15" s="11">
        <v>73971</v>
      </c>
      <c r="G15" s="11">
        <v>101510</v>
      </c>
      <c r="H15" s="11">
        <v>5452</v>
      </c>
      <c r="I15" s="11"/>
      <c r="J15" s="11">
        <v>37933</v>
      </c>
      <c r="K15" s="11">
        <v>585</v>
      </c>
      <c r="L15" s="11">
        <f>-41760-115509</f>
        <v>-157269</v>
      </c>
      <c r="M15" s="11"/>
      <c r="N15" s="11">
        <v>603369</v>
      </c>
      <c r="O15" s="11">
        <v>212052</v>
      </c>
      <c r="P15" s="11"/>
      <c r="Q15" s="11">
        <v>35924</v>
      </c>
      <c r="R15" s="11">
        <v>-49804</v>
      </c>
      <c r="S15" s="11"/>
      <c r="T15" s="11"/>
      <c r="U15" s="11">
        <v>215637.05674187199</v>
      </c>
      <c r="V15" s="11"/>
      <c r="W15" s="11">
        <v>937325</v>
      </c>
      <c r="X15" s="11">
        <v>431994</v>
      </c>
      <c r="Y15" s="11">
        <v>196</v>
      </c>
      <c r="Z15" s="11">
        <v>304861</v>
      </c>
      <c r="AA15" s="11"/>
      <c r="AB15" s="11">
        <v>-52793</v>
      </c>
      <c r="AC15" s="11">
        <v>25290</v>
      </c>
      <c r="AD15" s="11">
        <v>628</v>
      </c>
      <c r="AE15" s="11"/>
      <c r="AF15" s="11">
        <v>145246</v>
      </c>
      <c r="AG15" s="11">
        <v>487671</v>
      </c>
      <c r="AH15" s="11">
        <f>30935+43980</f>
        <v>74915</v>
      </c>
      <c r="AI15" s="12">
        <f>SUM(B15:AH15)</f>
        <v>3634804.0567418719</v>
      </c>
    </row>
    <row r="16" spans="1:35" x14ac:dyDescent="0.25">
      <c r="A16" s="11" t="s">
        <v>241</v>
      </c>
      <c r="B16" s="11"/>
      <c r="C16" s="11"/>
      <c r="D16" s="11"/>
      <c r="E16" s="11">
        <v>360422</v>
      </c>
      <c r="F16" s="11">
        <v>135946</v>
      </c>
      <c r="G16" s="11">
        <v>61282</v>
      </c>
      <c r="H16" s="11">
        <v>189</v>
      </c>
      <c r="I16" s="11"/>
      <c r="J16" s="11">
        <v>141799</v>
      </c>
      <c r="K16" s="11">
        <v>9844</v>
      </c>
      <c r="L16" s="11">
        <f>39+294511</f>
        <v>294550</v>
      </c>
      <c r="M16" s="11"/>
      <c r="N16" s="11">
        <v>837857</v>
      </c>
      <c r="O16" s="11">
        <v>208659</v>
      </c>
      <c r="P16" s="11"/>
      <c r="Q16" s="11">
        <v>34994</v>
      </c>
      <c r="R16" s="11">
        <v>1448</v>
      </c>
      <c r="S16" s="11"/>
      <c r="T16" s="11"/>
      <c r="U16" s="11">
        <v>322063.24277383997</v>
      </c>
      <c r="V16" s="11"/>
      <c r="W16" s="11">
        <v>1049504</v>
      </c>
      <c r="X16" s="11">
        <v>498830</v>
      </c>
      <c r="Y16" s="11">
        <v>583</v>
      </c>
      <c r="Z16" s="11">
        <v>59234</v>
      </c>
      <c r="AA16" s="11"/>
      <c r="AB16" s="11">
        <v>49845</v>
      </c>
      <c r="AC16" s="11">
        <v>70707</v>
      </c>
      <c r="AD16" s="11">
        <v>1573</v>
      </c>
      <c r="AE16" s="11"/>
      <c r="AF16" s="11">
        <v>866858</v>
      </c>
      <c r="AG16" s="11">
        <v>509426</v>
      </c>
      <c r="AH16" s="11">
        <f>774+12566</f>
        <v>13340</v>
      </c>
      <c r="AI16" s="12">
        <f>SUM(B16:AH16)</f>
        <v>5528953.2427738402</v>
      </c>
    </row>
    <row r="17" spans="1:35" x14ac:dyDescent="0.25">
      <c r="A17" s="11" t="s">
        <v>242</v>
      </c>
      <c r="B17" s="11"/>
      <c r="C17" s="11"/>
      <c r="D17" s="11"/>
      <c r="E17" s="11">
        <v>255119</v>
      </c>
      <c r="F17" s="11">
        <v>107382</v>
      </c>
      <c r="G17" s="11">
        <v>56639</v>
      </c>
      <c r="H17" s="11">
        <v>457</v>
      </c>
      <c r="I17" s="11"/>
      <c r="J17" s="11">
        <v>108273</v>
      </c>
      <c r="K17" s="11">
        <v>1109</v>
      </c>
      <c r="L17" s="11">
        <f>46+167748</f>
        <v>167794</v>
      </c>
      <c r="M17" s="11"/>
      <c r="N17" s="11">
        <v>596869</v>
      </c>
      <c r="O17" s="11">
        <v>170799</v>
      </c>
      <c r="P17" s="11"/>
      <c r="Q17" s="11">
        <v>43381</v>
      </c>
      <c r="R17" s="11">
        <v>2615</v>
      </c>
      <c r="S17" s="11"/>
      <c r="T17" s="11"/>
      <c r="U17" s="11">
        <v>399457.33657384</v>
      </c>
      <c r="V17" s="11"/>
      <c r="W17" s="11">
        <v>860395</v>
      </c>
      <c r="X17" s="11">
        <v>607125</v>
      </c>
      <c r="Y17" s="11">
        <v>85</v>
      </c>
      <c r="Z17" s="11">
        <v>19577</v>
      </c>
      <c r="AA17" s="11"/>
      <c r="AB17" s="11">
        <v>49683</v>
      </c>
      <c r="AC17" s="11">
        <v>42213</v>
      </c>
      <c r="AD17" s="11">
        <v>1701</v>
      </c>
      <c r="AE17" s="11"/>
      <c r="AF17" s="11">
        <v>686118</v>
      </c>
      <c r="AG17" s="11">
        <v>558283</v>
      </c>
      <c r="AH17" s="11">
        <f>227+12323</f>
        <v>12550</v>
      </c>
      <c r="AI17" s="12">
        <f>SUM(B17:AH17)</f>
        <v>4747624.3365738401</v>
      </c>
    </row>
    <row r="19" spans="1:35" x14ac:dyDescent="0.25">
      <c r="A19" s="32" t="s">
        <v>230</v>
      </c>
    </row>
    <row r="20" spans="1:35" x14ac:dyDescent="0.25">
      <c r="A20" s="1" t="s">
        <v>0</v>
      </c>
      <c r="B20" s="73" t="s">
        <v>1</v>
      </c>
      <c r="C20" s="73" t="s">
        <v>2</v>
      </c>
      <c r="D20" s="73" t="s">
        <v>3</v>
      </c>
      <c r="E20" s="73" t="s">
        <v>4</v>
      </c>
      <c r="F20" s="73" t="s">
        <v>5</v>
      </c>
      <c r="G20" s="73" t="s">
        <v>6</v>
      </c>
      <c r="H20" s="73" t="s">
        <v>7</v>
      </c>
      <c r="I20" s="73" t="s">
        <v>8</v>
      </c>
      <c r="J20" s="73" t="s">
        <v>9</v>
      </c>
      <c r="K20" s="73" t="s">
        <v>10</v>
      </c>
      <c r="L20" s="73" t="s">
        <v>11</v>
      </c>
      <c r="M20" s="73" t="s">
        <v>293</v>
      </c>
      <c r="N20" s="73" t="s">
        <v>12</v>
      </c>
      <c r="O20" s="73" t="s">
        <v>13</v>
      </c>
      <c r="P20" s="73" t="s">
        <v>14</v>
      </c>
      <c r="Q20" s="73" t="s">
        <v>15</v>
      </c>
      <c r="R20" s="73" t="s">
        <v>16</v>
      </c>
      <c r="S20" s="73" t="s">
        <v>295</v>
      </c>
      <c r="T20" s="73" t="s">
        <v>17</v>
      </c>
      <c r="U20" s="73" t="s">
        <v>18</v>
      </c>
      <c r="V20" s="73" t="s">
        <v>294</v>
      </c>
      <c r="W20" s="73" t="s">
        <v>19</v>
      </c>
      <c r="X20" s="73" t="s">
        <v>20</v>
      </c>
      <c r="Y20" s="73" t="s">
        <v>21</v>
      </c>
      <c r="Z20" s="73" t="s">
        <v>22</v>
      </c>
      <c r="AA20" s="73" t="s">
        <v>23</v>
      </c>
      <c r="AB20" s="73" t="s">
        <v>24</v>
      </c>
      <c r="AC20" s="73" t="s">
        <v>25</v>
      </c>
      <c r="AD20" s="73" t="s">
        <v>26</v>
      </c>
      <c r="AE20" s="73" t="s">
        <v>27</v>
      </c>
      <c r="AF20" s="73" t="s">
        <v>28</v>
      </c>
      <c r="AG20" s="72" t="s">
        <v>29</v>
      </c>
      <c r="AH20" s="93" t="s">
        <v>30</v>
      </c>
      <c r="AI20" s="93" t="s">
        <v>31</v>
      </c>
    </row>
    <row r="21" spans="1:35" x14ac:dyDescent="0.25">
      <c r="A21" s="11" t="s">
        <v>283</v>
      </c>
      <c r="B21" s="11">
        <v>375892</v>
      </c>
      <c r="C21" s="11"/>
      <c r="D21" s="11"/>
      <c r="E21" s="11">
        <v>8093780</v>
      </c>
      <c r="F21" s="11">
        <v>2012245</v>
      </c>
      <c r="G21" s="11">
        <v>5690580</v>
      </c>
      <c r="H21" s="11">
        <v>173431</v>
      </c>
      <c r="I21" s="11"/>
      <c r="J21" s="11">
        <v>2340170</v>
      </c>
      <c r="K21" s="11">
        <v>2861050</v>
      </c>
      <c r="L21" s="11">
        <f>2961699+2598679</f>
        <v>5560378</v>
      </c>
      <c r="M21" s="11"/>
      <c r="N21" s="11">
        <v>11474217</v>
      </c>
      <c r="O21" s="11">
        <v>6515302</v>
      </c>
      <c r="P21" s="11">
        <v>493332</v>
      </c>
      <c r="Q21" s="11">
        <f>846450+682492</f>
        <v>1528942</v>
      </c>
      <c r="R21" s="11">
        <v>1588355</v>
      </c>
      <c r="S21" s="11"/>
      <c r="T21" s="11"/>
      <c r="U21" s="11">
        <v>9862513.7000093274</v>
      </c>
      <c r="V21" s="11">
        <v>73885</v>
      </c>
      <c r="W21" s="11">
        <v>20748640</v>
      </c>
      <c r="X21" s="11">
        <v>7238309</v>
      </c>
      <c r="Y21" s="11">
        <f>57367+120241</f>
        <v>177608</v>
      </c>
      <c r="Z21" s="11">
        <v>6067927</v>
      </c>
      <c r="AA21" s="11"/>
      <c r="AB21" s="11">
        <v>3448301</v>
      </c>
      <c r="AC21" s="11">
        <v>2103466</v>
      </c>
      <c r="AD21" s="11">
        <v>4404714</v>
      </c>
      <c r="AE21" s="11"/>
      <c r="AF21" s="11">
        <v>7660314</v>
      </c>
      <c r="AG21" s="11">
        <v>11589342</v>
      </c>
      <c r="AH21" s="11">
        <f>881889+793506</f>
        <v>1675395</v>
      </c>
      <c r="AI21" s="12">
        <f>SUM(B21:AH21)</f>
        <v>123758088.70000933</v>
      </c>
    </row>
    <row r="22" spans="1:35" x14ac:dyDescent="0.25">
      <c r="A22" s="11" t="s">
        <v>286</v>
      </c>
      <c r="B22" s="11"/>
      <c r="C22" s="11"/>
      <c r="D22" s="11"/>
      <c r="E22" s="11"/>
      <c r="F22" s="11"/>
      <c r="G22" s="11"/>
      <c r="H22" s="11"/>
      <c r="I22" s="11"/>
      <c r="J22" s="11"/>
      <c r="K22" s="11">
        <v>269756</v>
      </c>
      <c r="L22" s="11"/>
      <c r="M22" s="11"/>
      <c r="N22" s="11">
        <v>15894</v>
      </c>
      <c r="O22" s="11"/>
      <c r="P22" s="11"/>
      <c r="Q22" s="11"/>
      <c r="R22" s="11"/>
      <c r="S22" s="11"/>
      <c r="T22" s="11"/>
      <c r="U22" s="11">
        <v>587.58409000000006</v>
      </c>
      <c r="V22" s="11"/>
      <c r="W22" s="11">
        <v>26794</v>
      </c>
      <c r="X22" s="11">
        <v>147</v>
      </c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2">
        <f>SUM(B22:AH22)</f>
        <v>313178.58409000002</v>
      </c>
    </row>
    <row r="23" spans="1:35" x14ac:dyDescent="0.25">
      <c r="A23" s="11" t="s">
        <v>287</v>
      </c>
      <c r="B23" s="11">
        <v>246891</v>
      </c>
      <c r="C23" s="11"/>
      <c r="D23" s="11"/>
      <c r="E23" s="11">
        <v>1077558</v>
      </c>
      <c r="F23" s="11">
        <v>168806</v>
      </c>
      <c r="G23" s="11">
        <v>936643</v>
      </c>
      <c r="H23" s="11">
        <v>14065</v>
      </c>
      <c r="I23" s="11"/>
      <c r="J23" s="11">
        <v>129462</v>
      </c>
      <c r="K23" s="11">
        <v>159370</v>
      </c>
      <c r="L23" s="11">
        <f>-1379341-136316</f>
        <v>-1515657</v>
      </c>
      <c r="M23" s="11"/>
      <c r="N23" s="11">
        <v>701341</v>
      </c>
      <c r="O23" s="11">
        <v>952306</v>
      </c>
      <c r="P23" s="11">
        <v>29066</v>
      </c>
      <c r="Q23" s="11">
        <f>74367+59730</f>
        <v>134097</v>
      </c>
      <c r="R23" s="11">
        <v>-417829</v>
      </c>
      <c r="S23" s="11"/>
      <c r="T23" s="11"/>
      <c r="U23" s="11">
        <v>647232.08627809596</v>
      </c>
      <c r="V23" s="11">
        <v>-10928</v>
      </c>
      <c r="W23" s="11">
        <v>1305065</v>
      </c>
      <c r="X23" s="11">
        <v>399096</v>
      </c>
      <c r="Y23" s="11">
        <f>4042+7903</f>
        <v>11945</v>
      </c>
      <c r="Z23" s="11">
        <v>1806817</v>
      </c>
      <c r="AA23" s="11"/>
      <c r="AB23" s="11">
        <v>-592262</v>
      </c>
      <c r="AC23" s="11">
        <v>801816</v>
      </c>
      <c r="AD23" s="11">
        <v>242019</v>
      </c>
      <c r="AE23" s="11"/>
      <c r="AF23" s="11">
        <v>1485691</v>
      </c>
      <c r="AG23" s="11">
        <v>599978</v>
      </c>
      <c r="AH23" s="11">
        <f>51291+57777</f>
        <v>109068</v>
      </c>
      <c r="AI23" s="12">
        <f>SUM(B23:AH23)</f>
        <v>9421656.0862780958</v>
      </c>
    </row>
    <row r="24" spans="1:35" x14ac:dyDescent="0.25">
      <c r="A24" s="11" t="s">
        <v>241</v>
      </c>
      <c r="B24" s="11">
        <v>129001</v>
      </c>
      <c r="C24" s="11"/>
      <c r="D24" s="11"/>
      <c r="E24" s="11">
        <v>7016222</v>
      </c>
      <c r="F24" s="11">
        <v>1843440</v>
      </c>
      <c r="G24" s="11">
        <v>4753937</v>
      </c>
      <c r="H24" s="11">
        <v>159366</v>
      </c>
      <c r="I24" s="11"/>
      <c r="J24" s="11">
        <v>2210708</v>
      </c>
      <c r="K24" s="11">
        <v>2971435</v>
      </c>
      <c r="L24" s="11">
        <f>1582358+2462363</f>
        <v>4044721</v>
      </c>
      <c r="M24" s="11"/>
      <c r="N24" s="11">
        <v>10788770</v>
      </c>
      <c r="O24" s="11">
        <v>5562996</v>
      </c>
      <c r="P24" s="11">
        <v>464266</v>
      </c>
      <c r="Q24" s="11">
        <f>772083+622762</f>
        <v>1394845</v>
      </c>
      <c r="R24" s="11">
        <v>1170526</v>
      </c>
      <c r="S24" s="11"/>
      <c r="T24" s="11"/>
      <c r="U24" s="11">
        <v>9215869.1978212316</v>
      </c>
      <c r="V24" s="11">
        <v>62957</v>
      </c>
      <c r="W24" s="11">
        <v>19470369</v>
      </c>
      <c r="X24" s="11">
        <v>6839360</v>
      </c>
      <c r="Y24" s="11">
        <f>53324+112337</f>
        <v>165661</v>
      </c>
      <c r="Z24" s="11">
        <v>4261110</v>
      </c>
      <c r="AA24" s="11"/>
      <c r="AB24" s="11">
        <v>2856039</v>
      </c>
      <c r="AC24" s="11">
        <v>1301650</v>
      </c>
      <c r="AD24" s="11">
        <v>4162696</v>
      </c>
      <c r="AE24" s="11"/>
      <c r="AF24" s="11">
        <v>6174623</v>
      </c>
      <c r="AG24" s="11">
        <v>10989364</v>
      </c>
      <c r="AH24" s="11">
        <f>830598+735729</f>
        <v>1566327</v>
      </c>
      <c r="AI24" s="12">
        <f>SUM(B24:AH24)</f>
        <v>109576258.19782123</v>
      </c>
    </row>
    <row r="25" spans="1:35" x14ac:dyDescent="0.25">
      <c r="A25" s="11" t="s">
        <v>242</v>
      </c>
      <c r="B25" s="11">
        <v>177396</v>
      </c>
      <c r="C25" s="11"/>
      <c r="D25" s="11"/>
      <c r="E25" s="11">
        <v>11548174</v>
      </c>
      <c r="F25" s="11">
        <v>3207084</v>
      </c>
      <c r="G25" s="11">
        <v>6446189</v>
      </c>
      <c r="H25" s="11">
        <v>195275</v>
      </c>
      <c r="I25" s="11"/>
      <c r="J25" s="11">
        <v>3060967</v>
      </c>
      <c r="K25" s="11">
        <v>3620823</v>
      </c>
      <c r="L25" s="11">
        <f>2939491+2987721</f>
        <v>5927212</v>
      </c>
      <c r="M25" s="11"/>
      <c r="N25" s="11">
        <v>14523112</v>
      </c>
      <c r="O25" s="11">
        <v>6847541</v>
      </c>
      <c r="P25" s="11">
        <v>576932</v>
      </c>
      <c r="Q25" s="11">
        <f>1321138+1003714</f>
        <v>2324852</v>
      </c>
      <c r="R25" s="11">
        <v>1752739</v>
      </c>
      <c r="S25" s="11"/>
      <c r="T25" s="11"/>
      <c r="U25" s="11">
        <v>9856699.8428212311</v>
      </c>
      <c r="V25" s="11">
        <v>146835</v>
      </c>
      <c r="W25" s="11">
        <v>23960076</v>
      </c>
      <c r="X25" s="11">
        <v>8192973</v>
      </c>
      <c r="Y25" s="11">
        <f>28958+212935</f>
        <v>241893</v>
      </c>
      <c r="Z25" s="11">
        <v>4843443</v>
      </c>
      <c r="AA25" s="11"/>
      <c r="AB25" s="11">
        <v>4176618</v>
      </c>
      <c r="AC25" s="11">
        <v>2364341</v>
      </c>
      <c r="AD25" s="11">
        <v>5509023</v>
      </c>
      <c r="AE25" s="11"/>
      <c r="AF25" s="11">
        <v>7829656</v>
      </c>
      <c r="AG25" s="11">
        <v>13035236</v>
      </c>
      <c r="AH25" s="11">
        <f>917861+1122711</f>
        <v>2040572</v>
      </c>
      <c r="AI25" s="12">
        <f>SUM(B25:AH25)</f>
        <v>142405661.84282124</v>
      </c>
    </row>
    <row r="27" spans="1:35" x14ac:dyDescent="0.25">
      <c r="A27" s="32" t="s">
        <v>231</v>
      </c>
    </row>
    <row r="28" spans="1:35" x14ac:dyDescent="0.25">
      <c r="A28" s="1" t="s">
        <v>0</v>
      </c>
      <c r="B28" s="73" t="s">
        <v>1</v>
      </c>
      <c r="C28" s="73" t="s">
        <v>2</v>
      </c>
      <c r="D28" s="73" t="s">
        <v>3</v>
      </c>
      <c r="E28" s="73" t="s">
        <v>4</v>
      </c>
      <c r="F28" s="73" t="s">
        <v>5</v>
      </c>
      <c r="G28" s="73" t="s">
        <v>6</v>
      </c>
      <c r="H28" s="73" t="s">
        <v>7</v>
      </c>
      <c r="I28" s="73" t="s">
        <v>8</v>
      </c>
      <c r="J28" s="73" t="s">
        <v>9</v>
      </c>
      <c r="K28" s="73" t="s">
        <v>10</v>
      </c>
      <c r="L28" s="73" t="s">
        <v>11</v>
      </c>
      <c r="M28" s="73" t="s">
        <v>293</v>
      </c>
      <c r="N28" s="73" t="s">
        <v>12</v>
      </c>
      <c r="O28" s="73" t="s">
        <v>13</v>
      </c>
      <c r="P28" s="73" t="s">
        <v>14</v>
      </c>
      <c r="Q28" s="73" t="s">
        <v>15</v>
      </c>
      <c r="R28" s="73" t="s">
        <v>16</v>
      </c>
      <c r="S28" s="73" t="s">
        <v>295</v>
      </c>
      <c r="T28" s="73" t="s">
        <v>17</v>
      </c>
      <c r="U28" s="73" t="s">
        <v>18</v>
      </c>
      <c r="V28" s="73" t="s">
        <v>294</v>
      </c>
      <c r="W28" s="73" t="s">
        <v>19</v>
      </c>
      <c r="X28" s="73" t="s">
        <v>20</v>
      </c>
      <c r="Y28" s="73" t="s">
        <v>21</v>
      </c>
      <c r="Z28" s="73" t="s">
        <v>22</v>
      </c>
      <c r="AA28" s="73" t="s">
        <v>23</v>
      </c>
      <c r="AB28" s="73" t="s">
        <v>24</v>
      </c>
      <c r="AC28" s="73" t="s">
        <v>25</v>
      </c>
      <c r="AD28" s="73" t="s">
        <v>26</v>
      </c>
      <c r="AE28" s="73" t="s">
        <v>27</v>
      </c>
      <c r="AF28" s="73" t="s">
        <v>28</v>
      </c>
      <c r="AG28" s="72" t="s">
        <v>29</v>
      </c>
      <c r="AH28" s="93" t="s">
        <v>30</v>
      </c>
      <c r="AI28" s="93" t="s">
        <v>31</v>
      </c>
    </row>
    <row r="29" spans="1:35" x14ac:dyDescent="0.25">
      <c r="A29" s="11" t="s">
        <v>283</v>
      </c>
      <c r="B29" s="11"/>
      <c r="C29" s="11"/>
      <c r="D29" s="11"/>
      <c r="E29" s="11">
        <v>540761</v>
      </c>
      <c r="F29" s="11">
        <v>96760</v>
      </c>
      <c r="G29" s="11">
        <v>71597</v>
      </c>
      <c r="H29" s="11">
        <v>252</v>
      </c>
      <c r="I29" s="11"/>
      <c r="J29" s="11">
        <v>94075</v>
      </c>
      <c r="K29" s="11">
        <v>11069</v>
      </c>
      <c r="L29" s="11">
        <v>374094</v>
      </c>
      <c r="M29" s="11"/>
      <c r="N29" s="11">
        <v>945210</v>
      </c>
      <c r="O29" s="11">
        <v>209827</v>
      </c>
      <c r="P29" s="11">
        <v>1162</v>
      </c>
      <c r="Q29" s="11">
        <v>64215</v>
      </c>
      <c r="R29" s="11">
        <v>11925</v>
      </c>
      <c r="S29" s="11"/>
      <c r="T29" s="11"/>
      <c r="U29" s="11">
        <v>649646.51888012001</v>
      </c>
      <c r="V29" s="11"/>
      <c r="W29" s="11">
        <v>1494566</v>
      </c>
      <c r="X29" s="11">
        <v>598272</v>
      </c>
      <c r="Y29" s="11">
        <v>1540</v>
      </c>
      <c r="Z29" s="11">
        <v>336075</v>
      </c>
      <c r="AA29" s="11"/>
      <c r="AB29" s="11">
        <v>131808</v>
      </c>
      <c r="AC29" s="11">
        <v>90649</v>
      </c>
      <c r="AD29" s="11">
        <v>25583</v>
      </c>
      <c r="AE29" s="11"/>
      <c r="AF29" s="11">
        <v>163647</v>
      </c>
      <c r="AG29" s="11">
        <v>1009755</v>
      </c>
      <c r="AH29" s="11">
        <v>26613</v>
      </c>
      <c r="AI29" s="12">
        <f>SUM(B29:AH29)</f>
        <v>6949101.5188801195</v>
      </c>
    </row>
    <row r="30" spans="1:35" x14ac:dyDescent="0.25">
      <c r="A30" s="11" t="s">
        <v>286</v>
      </c>
      <c r="B30" s="11"/>
      <c r="C30" s="11"/>
      <c r="D30" s="11"/>
      <c r="E30" s="11">
        <v>11608</v>
      </c>
      <c r="F30" s="11">
        <v>7511</v>
      </c>
      <c r="G30" s="11">
        <v>4358</v>
      </c>
      <c r="H30" s="11">
        <v>1092</v>
      </c>
      <c r="I30" s="11"/>
      <c r="J30" s="11">
        <v>7555</v>
      </c>
      <c r="K30" s="11">
        <v>8368</v>
      </c>
      <c r="L30" s="11">
        <v>35511</v>
      </c>
      <c r="M30" s="11"/>
      <c r="N30" s="11">
        <v>75509</v>
      </c>
      <c r="O30" s="11">
        <v>268</v>
      </c>
      <c r="P30" s="11">
        <v>1092</v>
      </c>
      <c r="Q30" s="11">
        <v>2853</v>
      </c>
      <c r="R30" s="11">
        <v>4543</v>
      </c>
      <c r="S30" s="11"/>
      <c r="T30" s="11"/>
      <c r="U30" s="11">
        <v>67158.117969999992</v>
      </c>
      <c r="V30" s="11">
        <v>218</v>
      </c>
      <c r="W30" s="11">
        <v>92623</v>
      </c>
      <c r="X30" s="11">
        <v>693</v>
      </c>
      <c r="Y30" s="11"/>
      <c r="Z30" s="11">
        <v>3934</v>
      </c>
      <c r="AA30" s="11"/>
      <c r="AB30" s="11">
        <v>5020</v>
      </c>
      <c r="AC30" s="11">
        <v>1706</v>
      </c>
      <c r="AD30" s="11">
        <v>3118</v>
      </c>
      <c r="AE30" s="11"/>
      <c r="AF30" s="11">
        <v>31041</v>
      </c>
      <c r="AG30" s="11">
        <v>53682</v>
      </c>
      <c r="AH30" s="11">
        <v>1213</v>
      </c>
      <c r="AI30" s="12">
        <f>SUM(B30:AH30)</f>
        <v>420674.11797000002</v>
      </c>
    </row>
    <row r="31" spans="1:35" x14ac:dyDescent="0.25">
      <c r="A31" s="11" t="s">
        <v>287</v>
      </c>
      <c r="B31" s="11"/>
      <c r="C31" s="11"/>
      <c r="D31" s="11"/>
      <c r="E31" s="11">
        <v>491265</v>
      </c>
      <c r="F31" s="11">
        <v>90695</v>
      </c>
      <c r="G31" s="11">
        <v>40977</v>
      </c>
      <c r="H31" s="11">
        <v>333</v>
      </c>
      <c r="I31" s="11"/>
      <c r="J31" s="11">
        <v>84579</v>
      </c>
      <c r="K31" s="11">
        <v>16777</v>
      </c>
      <c r="L31" s="11">
        <v>-262846</v>
      </c>
      <c r="M31" s="11"/>
      <c r="N31" s="11">
        <v>730698</v>
      </c>
      <c r="O31" s="11">
        <v>174164</v>
      </c>
      <c r="P31" s="11">
        <v>1048</v>
      </c>
      <c r="Q31" s="11">
        <v>93468</v>
      </c>
      <c r="R31" s="11">
        <v>-13157</v>
      </c>
      <c r="S31" s="11"/>
      <c r="T31" s="11"/>
      <c r="U31" s="11">
        <v>233656.916662392</v>
      </c>
      <c r="V31" s="11">
        <v>-20</v>
      </c>
      <c r="W31" s="11">
        <v>774775</v>
      </c>
      <c r="X31" s="11">
        <v>223440</v>
      </c>
      <c r="Y31" s="11">
        <v>1292</v>
      </c>
      <c r="Z31" s="11">
        <v>263617</v>
      </c>
      <c r="AA31" s="11"/>
      <c r="AB31" s="11">
        <v>-112690</v>
      </c>
      <c r="AC31" s="11">
        <v>62064</v>
      </c>
      <c r="AD31" s="11">
        <v>12369</v>
      </c>
      <c r="AE31" s="11"/>
      <c r="AF31" s="11">
        <v>174598</v>
      </c>
      <c r="AG31" s="11">
        <v>564543</v>
      </c>
      <c r="AH31" s="11">
        <v>23791</v>
      </c>
      <c r="AI31" s="12">
        <f>SUM(B31:AH31)</f>
        <v>3669436.9166623922</v>
      </c>
    </row>
    <row r="32" spans="1:35" x14ac:dyDescent="0.25">
      <c r="A32" s="11" t="s">
        <v>241</v>
      </c>
      <c r="B32" s="11"/>
      <c r="C32" s="11"/>
      <c r="D32" s="11"/>
      <c r="E32" s="11">
        <v>61104</v>
      </c>
      <c r="F32" s="11">
        <v>13576</v>
      </c>
      <c r="G32" s="11">
        <v>34978</v>
      </c>
      <c r="H32" s="11">
        <v>1011</v>
      </c>
      <c r="I32" s="11"/>
      <c r="J32" s="11">
        <v>17051</v>
      </c>
      <c r="K32" s="11">
        <v>2660</v>
      </c>
      <c r="L32" s="11">
        <v>146759</v>
      </c>
      <c r="M32" s="11"/>
      <c r="N32" s="11">
        <v>290021</v>
      </c>
      <c r="O32" s="11">
        <v>35931</v>
      </c>
      <c r="P32" s="11">
        <v>1206</v>
      </c>
      <c r="Q32" s="11">
        <v>-26400</v>
      </c>
      <c r="R32" s="11">
        <v>3311</v>
      </c>
      <c r="S32" s="11"/>
      <c r="T32" s="11"/>
      <c r="U32" s="11">
        <v>483147.72018772806</v>
      </c>
      <c r="V32" s="11">
        <v>198</v>
      </c>
      <c r="W32" s="11">
        <v>812414</v>
      </c>
      <c r="X32" s="11">
        <v>375525</v>
      </c>
      <c r="Y32" s="11">
        <v>248</v>
      </c>
      <c r="Z32" s="11">
        <v>76392</v>
      </c>
      <c r="AA32" s="11"/>
      <c r="AB32" s="11">
        <v>24138</v>
      </c>
      <c r="AC32" s="11">
        <v>30291</v>
      </c>
      <c r="AD32" s="11">
        <v>16332</v>
      </c>
      <c r="AE32" s="11"/>
      <c r="AF32" s="11">
        <v>20090</v>
      </c>
      <c r="AG32" s="11">
        <v>498894</v>
      </c>
      <c r="AH32" s="11">
        <v>4035</v>
      </c>
      <c r="AI32" s="12">
        <f>SUM(B32:AH32)</f>
        <v>2922912.7201877283</v>
      </c>
    </row>
    <row r="33" spans="1:35" x14ac:dyDescent="0.25">
      <c r="A33" s="11" t="s">
        <v>242</v>
      </c>
      <c r="B33" s="11"/>
      <c r="C33" s="11"/>
      <c r="D33" s="11"/>
      <c r="E33" s="11">
        <v>65348</v>
      </c>
      <c r="F33" s="11">
        <v>14534</v>
      </c>
      <c r="G33" s="11">
        <v>33172</v>
      </c>
      <c r="H33" s="11">
        <v>686</v>
      </c>
      <c r="I33" s="11"/>
      <c r="J33" s="11">
        <v>24761</v>
      </c>
      <c r="K33" s="11">
        <v>2689</v>
      </c>
      <c r="L33" s="11">
        <v>153798</v>
      </c>
      <c r="M33" s="11"/>
      <c r="N33" s="11">
        <v>258152</v>
      </c>
      <c r="O33" s="11">
        <v>40868</v>
      </c>
      <c r="P33" s="11">
        <v>1166</v>
      </c>
      <c r="Q33" s="11">
        <v>10566</v>
      </c>
      <c r="R33" s="11">
        <v>3911</v>
      </c>
      <c r="S33" s="11"/>
      <c r="T33" s="11"/>
      <c r="U33" s="11">
        <v>510777.34918772808</v>
      </c>
      <c r="V33" s="11">
        <v>254</v>
      </c>
      <c r="W33" s="11">
        <v>832983</v>
      </c>
      <c r="X33" s="11">
        <v>456056</v>
      </c>
      <c r="Y33" s="11">
        <v>461</v>
      </c>
      <c r="Z33" s="11">
        <v>61623</v>
      </c>
      <c r="AA33" s="11"/>
      <c r="AB33" s="11">
        <v>21982</v>
      </c>
      <c r="AC33" s="11">
        <v>33527</v>
      </c>
      <c r="AD33" s="11">
        <v>24746</v>
      </c>
      <c r="AE33" s="11"/>
      <c r="AF33" s="11">
        <v>13514</v>
      </c>
      <c r="AG33" s="11">
        <v>529946</v>
      </c>
      <c r="AH33" s="11">
        <v>3851</v>
      </c>
      <c r="AI33" s="12">
        <f>SUM(B33:AH33)</f>
        <v>3099371.349187728</v>
      </c>
    </row>
    <row r="35" spans="1:35" x14ac:dyDescent="0.25">
      <c r="A35" s="32" t="s">
        <v>232</v>
      </c>
    </row>
    <row r="36" spans="1:35" x14ac:dyDescent="0.25">
      <c r="A36" s="1" t="s">
        <v>0</v>
      </c>
      <c r="B36" s="73" t="s">
        <v>1</v>
      </c>
      <c r="C36" s="73" t="s">
        <v>2</v>
      </c>
      <c r="D36" s="73" t="s">
        <v>3</v>
      </c>
      <c r="E36" s="73" t="s">
        <v>4</v>
      </c>
      <c r="F36" s="73" t="s">
        <v>5</v>
      </c>
      <c r="G36" s="73" t="s">
        <v>6</v>
      </c>
      <c r="H36" s="73" t="s">
        <v>7</v>
      </c>
      <c r="I36" s="73" t="s">
        <v>8</v>
      </c>
      <c r="J36" s="73" t="s">
        <v>9</v>
      </c>
      <c r="K36" s="73" t="s">
        <v>10</v>
      </c>
      <c r="L36" s="73" t="s">
        <v>11</v>
      </c>
      <c r="M36" s="73" t="s">
        <v>293</v>
      </c>
      <c r="N36" s="73" t="s">
        <v>12</v>
      </c>
      <c r="O36" s="73" t="s">
        <v>13</v>
      </c>
      <c r="P36" s="73" t="s">
        <v>14</v>
      </c>
      <c r="Q36" s="73" t="s">
        <v>15</v>
      </c>
      <c r="R36" s="73" t="s">
        <v>16</v>
      </c>
      <c r="S36" s="73" t="s">
        <v>295</v>
      </c>
      <c r="T36" s="73" t="s">
        <v>17</v>
      </c>
      <c r="U36" s="73" t="s">
        <v>18</v>
      </c>
      <c r="V36" s="73" t="s">
        <v>294</v>
      </c>
      <c r="W36" s="73" t="s">
        <v>19</v>
      </c>
      <c r="X36" s="73" t="s">
        <v>20</v>
      </c>
      <c r="Y36" s="73" t="s">
        <v>21</v>
      </c>
      <c r="Z36" s="73" t="s">
        <v>22</v>
      </c>
      <c r="AA36" s="73" t="s">
        <v>23</v>
      </c>
      <c r="AB36" s="73" t="s">
        <v>24</v>
      </c>
      <c r="AC36" s="73" t="s">
        <v>25</v>
      </c>
      <c r="AD36" s="73" t="s">
        <v>26</v>
      </c>
      <c r="AE36" s="73" t="s">
        <v>27</v>
      </c>
      <c r="AF36" s="73" t="s">
        <v>28</v>
      </c>
      <c r="AG36" s="72" t="s">
        <v>29</v>
      </c>
      <c r="AH36" s="93" t="s">
        <v>30</v>
      </c>
      <c r="AI36" s="93" t="s">
        <v>31</v>
      </c>
    </row>
    <row r="37" spans="1:35" x14ac:dyDescent="0.25">
      <c r="A37" s="11" t="s">
        <v>283</v>
      </c>
      <c r="B37" s="11">
        <v>146876</v>
      </c>
      <c r="C37" s="11">
        <v>2290297</v>
      </c>
      <c r="D37" s="11"/>
      <c r="E37" s="11">
        <v>4491010</v>
      </c>
      <c r="F37" s="11">
        <v>1128838</v>
      </c>
      <c r="G37" s="11">
        <v>1011699</v>
      </c>
      <c r="H37" s="11">
        <v>145635</v>
      </c>
      <c r="I37" s="11"/>
      <c r="J37" s="11">
        <v>807025</v>
      </c>
      <c r="K37" s="11">
        <v>767955</v>
      </c>
      <c r="L37" s="11">
        <v>2647554</v>
      </c>
      <c r="M37" s="11">
        <v>4339559</v>
      </c>
      <c r="N37" s="11">
        <v>7343944</v>
      </c>
      <c r="O37" s="11">
        <v>3364544</v>
      </c>
      <c r="P37" s="11">
        <v>357609</v>
      </c>
      <c r="Q37" s="11">
        <v>821771</v>
      </c>
      <c r="R37" s="11">
        <v>132619</v>
      </c>
      <c r="S37" s="11">
        <v>1417365</v>
      </c>
      <c r="T37" s="11">
        <v>2998146</v>
      </c>
      <c r="U37" s="11">
        <v>9805704.9461210724</v>
      </c>
      <c r="V37" s="11">
        <v>8512</v>
      </c>
      <c r="W37" s="11">
        <v>31418660</v>
      </c>
      <c r="X37" s="11">
        <v>10775990</v>
      </c>
      <c r="Y37" s="11">
        <v>2812</v>
      </c>
      <c r="Z37" s="11"/>
      <c r="AA37" s="11">
        <v>4583759</v>
      </c>
      <c r="AB37" s="11">
        <v>870327</v>
      </c>
      <c r="AC37" s="11">
        <v>2733767</v>
      </c>
      <c r="AD37" s="11">
        <v>1098</v>
      </c>
      <c r="AE37" s="11"/>
      <c r="AF37" s="11">
        <v>2214219</v>
      </c>
      <c r="AG37" s="11">
        <v>15655567</v>
      </c>
      <c r="AH37" s="8">
        <v>825072</v>
      </c>
      <c r="AI37" s="12">
        <f>SUM(B37:AH37)</f>
        <v>113107933.94612107</v>
      </c>
    </row>
    <row r="38" spans="1:35" x14ac:dyDescent="0.25">
      <c r="A38" s="11" t="s">
        <v>286</v>
      </c>
      <c r="B38" s="11"/>
      <c r="C38" s="11"/>
      <c r="D38" s="11"/>
      <c r="E38" s="11"/>
      <c r="F38" s="11"/>
      <c r="G38" s="11"/>
      <c r="H38" s="11">
        <v>209</v>
      </c>
      <c r="I38" s="11"/>
      <c r="J38" s="11"/>
      <c r="K38" s="11"/>
      <c r="L38" s="11"/>
      <c r="M38" s="11"/>
      <c r="N38" s="11">
        <v>247586</v>
      </c>
      <c r="O38" s="11"/>
      <c r="P38" s="11"/>
      <c r="Q38" s="11"/>
      <c r="R38" s="11"/>
      <c r="S38" s="11"/>
      <c r="T38" s="11"/>
      <c r="U38" s="11">
        <v>0</v>
      </c>
      <c r="V38" s="11"/>
      <c r="W38" s="11">
        <v>4252</v>
      </c>
      <c r="X38" s="11">
        <v>-1032</v>
      </c>
      <c r="Y38" s="11"/>
      <c r="Z38" s="11"/>
      <c r="AA38" s="11">
        <v>132079</v>
      </c>
      <c r="AB38" s="11"/>
      <c r="AC38" s="11">
        <v>347267</v>
      </c>
      <c r="AD38" s="11"/>
      <c r="AE38" s="11"/>
      <c r="AF38" s="11"/>
      <c r="AG38" s="11"/>
      <c r="AH38" s="11"/>
      <c r="AI38" s="12">
        <f>SUM(B38:AH38)</f>
        <v>730361</v>
      </c>
    </row>
    <row r="39" spans="1:35" x14ac:dyDescent="0.25">
      <c r="A39" s="11" t="s">
        <v>287</v>
      </c>
      <c r="B39" s="11">
        <v>8780</v>
      </c>
      <c r="C39" s="11">
        <v>602750</v>
      </c>
      <c r="D39" s="11"/>
      <c r="E39" s="11">
        <v>255873</v>
      </c>
      <c r="F39" s="11">
        <v>87258</v>
      </c>
      <c r="G39" s="11">
        <v>147315</v>
      </c>
      <c r="H39" s="11">
        <v>10247</v>
      </c>
      <c r="I39" s="11"/>
      <c r="J39" s="11">
        <v>136380</v>
      </c>
      <c r="K39" s="11">
        <v>247572</v>
      </c>
      <c r="L39" s="11">
        <v>-788538</v>
      </c>
      <c r="M39" s="11">
        <v>1291907</v>
      </c>
      <c r="N39" s="11">
        <v>1150733</v>
      </c>
      <c r="O39" s="11">
        <v>236090</v>
      </c>
      <c r="P39" s="11">
        <v>18419</v>
      </c>
      <c r="Q39" s="11">
        <v>40977</v>
      </c>
      <c r="R39" s="11">
        <v>-10037</v>
      </c>
      <c r="S39" s="11">
        <v>73182</v>
      </c>
      <c r="T39" s="11">
        <v>702603</v>
      </c>
      <c r="U39" s="11">
        <v>346841.14865154354</v>
      </c>
      <c r="V39" s="11">
        <v>-4529</v>
      </c>
      <c r="W39" s="11">
        <v>1551235</v>
      </c>
      <c r="X39" s="11">
        <v>529187</v>
      </c>
      <c r="Y39" s="11">
        <v>141</v>
      </c>
      <c r="Z39" s="11"/>
      <c r="AA39" s="11">
        <v>1191838</v>
      </c>
      <c r="AB39" s="11">
        <v>-184216</v>
      </c>
      <c r="AC39" s="11">
        <v>136688</v>
      </c>
      <c r="AD39" s="11">
        <v>271</v>
      </c>
      <c r="AE39" s="11"/>
      <c r="AF39" s="11">
        <v>179301</v>
      </c>
      <c r="AG39" s="11">
        <v>782772</v>
      </c>
      <c r="AH39" s="11">
        <v>42563</v>
      </c>
      <c r="AI39" s="12">
        <f>SUM(B39:AH39)</f>
        <v>8783603.148651544</v>
      </c>
    </row>
    <row r="40" spans="1:35" x14ac:dyDescent="0.25">
      <c r="A40" s="11" t="s">
        <v>241</v>
      </c>
      <c r="B40" s="11">
        <v>138096</v>
      </c>
      <c r="C40" s="11">
        <v>1687547</v>
      </c>
      <c r="D40" s="11"/>
      <c r="E40" s="11">
        <v>4235137</v>
      </c>
      <c r="F40" s="11">
        <v>1041581</v>
      </c>
      <c r="G40" s="11">
        <v>864384</v>
      </c>
      <c r="H40" s="11">
        <v>135597</v>
      </c>
      <c r="I40" s="11"/>
      <c r="J40" s="11">
        <v>670645</v>
      </c>
      <c r="K40" s="11">
        <v>520383</v>
      </c>
      <c r="L40" s="11">
        <v>1859016</v>
      </c>
      <c r="M40" s="11">
        <v>3047652</v>
      </c>
      <c r="N40" s="11">
        <v>6440797</v>
      </c>
      <c r="O40" s="11">
        <v>3128454</v>
      </c>
      <c r="P40" s="11">
        <v>339190</v>
      </c>
      <c r="Q40" s="11">
        <v>780794</v>
      </c>
      <c r="R40" s="11">
        <v>122582</v>
      </c>
      <c r="S40" s="11">
        <v>1344183</v>
      </c>
      <c r="T40" s="11">
        <v>2295543</v>
      </c>
      <c r="U40" s="11">
        <v>9458863.7974695284</v>
      </c>
      <c r="V40" s="11">
        <v>3983</v>
      </c>
      <c r="W40" s="11">
        <v>29871676</v>
      </c>
      <c r="X40" s="11">
        <v>10245771</v>
      </c>
      <c r="Y40" s="11">
        <v>2671</v>
      </c>
      <c r="Z40" s="11"/>
      <c r="AA40" s="11">
        <v>3524000</v>
      </c>
      <c r="AB40" s="11">
        <v>686111</v>
      </c>
      <c r="AC40" s="11">
        <v>2944346</v>
      </c>
      <c r="AD40" s="11">
        <v>827</v>
      </c>
      <c r="AE40" s="11"/>
      <c r="AF40" s="11">
        <v>2034918</v>
      </c>
      <c r="AG40" s="11">
        <v>14872795</v>
      </c>
      <c r="AH40" s="11">
        <v>782509</v>
      </c>
      <c r="AI40" s="12">
        <f>SUM(B40:AH40)</f>
        <v>103080051.79746953</v>
      </c>
    </row>
    <row r="41" spans="1:35" x14ac:dyDescent="0.25">
      <c r="A41" s="11" t="s">
        <v>242</v>
      </c>
      <c r="B41" s="11">
        <v>68898</v>
      </c>
      <c r="C41" s="11">
        <v>1346344</v>
      </c>
      <c r="D41" s="11"/>
      <c r="E41" s="11">
        <v>3928652</v>
      </c>
      <c r="F41" s="11">
        <v>559666</v>
      </c>
      <c r="G41" s="11">
        <v>606477</v>
      </c>
      <c r="H41" s="11">
        <v>148160</v>
      </c>
      <c r="I41" s="11"/>
      <c r="J41" s="11">
        <v>691622</v>
      </c>
      <c r="K41" s="11">
        <v>112667</v>
      </c>
      <c r="L41" s="11">
        <v>1793740</v>
      </c>
      <c r="M41" s="11">
        <v>2173891</v>
      </c>
      <c r="N41" s="11">
        <v>4729150</v>
      </c>
      <c r="O41" s="11">
        <v>2512260</v>
      </c>
      <c r="P41" s="11">
        <v>217175</v>
      </c>
      <c r="Q41" s="11">
        <v>554494</v>
      </c>
      <c r="R41" s="11">
        <v>75371</v>
      </c>
      <c r="S41" s="11">
        <v>1260891</v>
      </c>
      <c r="T41" s="11">
        <v>2063106</v>
      </c>
      <c r="U41" s="11">
        <v>8289709.5784695279</v>
      </c>
      <c r="V41" s="11">
        <v>41278</v>
      </c>
      <c r="W41" s="11">
        <v>21916345</v>
      </c>
      <c r="X41" s="11">
        <v>9743071</v>
      </c>
      <c r="Y41" s="11">
        <v>1532</v>
      </c>
      <c r="Z41" s="11"/>
      <c r="AA41" s="11">
        <v>2971773</v>
      </c>
      <c r="AB41" s="11">
        <v>761235</v>
      </c>
      <c r="AC41" s="11">
        <v>2117444</v>
      </c>
      <c r="AD41" s="11">
        <v>1074</v>
      </c>
      <c r="AE41" s="11"/>
      <c r="AF41" s="11">
        <v>1600373</v>
      </c>
      <c r="AG41" s="11">
        <v>12608725</v>
      </c>
      <c r="AH41" s="11">
        <v>441008</v>
      </c>
      <c r="AI41" s="12">
        <f>SUM(B41:AH41)</f>
        <v>83336131.57846953</v>
      </c>
    </row>
    <row r="43" spans="1:35" x14ac:dyDescent="0.25">
      <c r="A43" s="32" t="s">
        <v>233</v>
      </c>
    </row>
    <row r="44" spans="1:35" x14ac:dyDescent="0.25">
      <c r="A44" s="1" t="s">
        <v>0</v>
      </c>
      <c r="B44" s="73" t="s">
        <v>1</v>
      </c>
      <c r="C44" s="73" t="s">
        <v>2</v>
      </c>
      <c r="D44" s="73" t="s">
        <v>3</v>
      </c>
      <c r="E44" s="73" t="s">
        <v>4</v>
      </c>
      <c r="F44" s="73" t="s">
        <v>5</v>
      </c>
      <c r="G44" s="73" t="s">
        <v>6</v>
      </c>
      <c r="H44" s="73" t="s">
        <v>7</v>
      </c>
      <c r="I44" s="73" t="s">
        <v>8</v>
      </c>
      <c r="J44" s="73" t="s">
        <v>9</v>
      </c>
      <c r="K44" s="73" t="s">
        <v>10</v>
      </c>
      <c r="L44" s="73" t="s">
        <v>11</v>
      </c>
      <c r="M44" s="73" t="s">
        <v>293</v>
      </c>
      <c r="N44" s="73" t="s">
        <v>12</v>
      </c>
      <c r="O44" s="73" t="s">
        <v>13</v>
      </c>
      <c r="P44" s="73" t="s">
        <v>14</v>
      </c>
      <c r="Q44" s="73" t="s">
        <v>15</v>
      </c>
      <c r="R44" s="73" t="s">
        <v>16</v>
      </c>
      <c r="S44" s="73" t="s">
        <v>295</v>
      </c>
      <c r="T44" s="73" t="s">
        <v>17</v>
      </c>
      <c r="U44" s="73" t="s">
        <v>18</v>
      </c>
      <c r="V44" s="73" t="s">
        <v>294</v>
      </c>
      <c r="W44" s="73" t="s">
        <v>19</v>
      </c>
      <c r="X44" s="73" t="s">
        <v>20</v>
      </c>
      <c r="Y44" s="73" t="s">
        <v>21</v>
      </c>
      <c r="Z44" s="73" t="s">
        <v>22</v>
      </c>
      <c r="AA44" s="73" t="s">
        <v>23</v>
      </c>
      <c r="AB44" s="73" t="s">
        <v>24</v>
      </c>
      <c r="AC44" s="73" t="s">
        <v>25</v>
      </c>
      <c r="AD44" s="73" t="s">
        <v>26</v>
      </c>
      <c r="AE44" s="73" t="s">
        <v>27</v>
      </c>
      <c r="AF44" s="73" t="s">
        <v>28</v>
      </c>
      <c r="AG44" s="72" t="s">
        <v>29</v>
      </c>
      <c r="AH44" s="93" t="s">
        <v>30</v>
      </c>
      <c r="AI44" s="93" t="s">
        <v>31</v>
      </c>
    </row>
    <row r="45" spans="1:35" x14ac:dyDescent="0.25">
      <c r="A45" s="11" t="s">
        <v>283</v>
      </c>
      <c r="B45" s="11">
        <v>8360</v>
      </c>
      <c r="C45" s="11">
        <v>165681</v>
      </c>
      <c r="D45" s="11"/>
      <c r="E45" s="11">
        <v>538827</v>
      </c>
      <c r="F45" s="11">
        <v>96226</v>
      </c>
      <c r="G45" s="11">
        <v>406551</v>
      </c>
      <c r="H45" s="11">
        <v>1171</v>
      </c>
      <c r="I45" s="11"/>
      <c r="J45" s="11">
        <v>147538</v>
      </c>
      <c r="K45" s="11">
        <v>48874</v>
      </c>
      <c r="L45" s="11">
        <v>640279</v>
      </c>
      <c r="M45" s="11">
        <v>114813</v>
      </c>
      <c r="N45" s="11">
        <v>626909</v>
      </c>
      <c r="O45" s="11">
        <v>269400</v>
      </c>
      <c r="P45" s="11">
        <v>50177</v>
      </c>
      <c r="Q45" s="11">
        <v>59372</v>
      </c>
      <c r="R45" s="11">
        <v>9478</v>
      </c>
      <c r="S45" s="11">
        <v>13332</v>
      </c>
      <c r="T45" s="11">
        <v>62064</v>
      </c>
      <c r="U45" s="11">
        <v>481883.08600000001</v>
      </c>
      <c r="V45" s="11">
        <v>2336</v>
      </c>
      <c r="W45" s="11">
        <v>2792794</v>
      </c>
      <c r="X45" s="11">
        <v>525360</v>
      </c>
      <c r="Y45" s="11">
        <v>407</v>
      </c>
      <c r="Z45" s="11"/>
      <c r="AA45" s="11">
        <v>232535</v>
      </c>
      <c r="AB45" s="11">
        <v>150382</v>
      </c>
      <c r="AC45" s="11">
        <v>1050347</v>
      </c>
      <c r="AD45" s="11">
        <v>17809</v>
      </c>
      <c r="AE45" s="11"/>
      <c r="AF45" s="11">
        <v>426320</v>
      </c>
      <c r="AG45" s="11">
        <v>1235578</v>
      </c>
      <c r="AH45" s="11">
        <v>359366</v>
      </c>
      <c r="AI45" s="12">
        <f>SUM(B45:AH45)</f>
        <v>10534169.085999999</v>
      </c>
    </row>
    <row r="46" spans="1:35" x14ac:dyDescent="0.25">
      <c r="A46" s="11" t="s">
        <v>286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>
        <v>8865</v>
      </c>
      <c r="M46" s="11"/>
      <c r="N46" s="11"/>
      <c r="O46" s="11"/>
      <c r="P46" s="11"/>
      <c r="Q46" s="11"/>
      <c r="R46" s="11"/>
      <c r="S46" s="11"/>
      <c r="T46" s="11"/>
      <c r="U46" s="11">
        <v>0</v>
      </c>
      <c r="V46" s="11"/>
      <c r="W46" s="11">
        <v>8375</v>
      </c>
      <c r="X46" s="11"/>
      <c r="Y46" s="11"/>
      <c r="Z46" s="11"/>
      <c r="AA46" s="11"/>
      <c r="AB46" s="11">
        <v>1577</v>
      </c>
      <c r="AC46" s="11"/>
      <c r="AD46" s="11"/>
      <c r="AE46" s="11"/>
      <c r="AF46" s="11"/>
      <c r="AG46" s="11"/>
      <c r="AH46" s="11"/>
      <c r="AI46" s="12">
        <f>SUM(B46:AH46)</f>
        <v>18817</v>
      </c>
    </row>
    <row r="47" spans="1:35" x14ac:dyDescent="0.25">
      <c r="A47" s="11" t="s">
        <v>287</v>
      </c>
      <c r="B47" s="11">
        <v>2469</v>
      </c>
      <c r="C47" s="11">
        <v>19605</v>
      </c>
      <c r="D47" s="11"/>
      <c r="E47" s="11">
        <v>31837</v>
      </c>
      <c r="F47" s="11">
        <v>7072</v>
      </c>
      <c r="G47" s="11">
        <v>135845</v>
      </c>
      <c r="H47" s="11">
        <v>1017</v>
      </c>
      <c r="I47" s="11"/>
      <c r="J47" s="11">
        <v>21325</v>
      </c>
      <c r="K47" s="11">
        <v>3837</v>
      </c>
      <c r="L47" s="11">
        <v>-167539</v>
      </c>
      <c r="M47" s="11">
        <v>10081</v>
      </c>
      <c r="N47" s="11">
        <v>77354</v>
      </c>
      <c r="O47" s="11">
        <v>38855</v>
      </c>
      <c r="P47" s="11">
        <v>30066</v>
      </c>
      <c r="Q47" s="11">
        <v>10480</v>
      </c>
      <c r="R47" s="11">
        <v>-2752</v>
      </c>
      <c r="S47" s="11">
        <v>817</v>
      </c>
      <c r="T47" s="11">
        <v>11085</v>
      </c>
      <c r="U47" s="11">
        <v>94365.589129999993</v>
      </c>
      <c r="V47" s="11">
        <v>-1718</v>
      </c>
      <c r="W47" s="11">
        <v>139754</v>
      </c>
      <c r="X47" s="11">
        <v>60546</v>
      </c>
      <c r="Y47" s="11">
        <v>330</v>
      </c>
      <c r="Z47" s="11"/>
      <c r="AA47" s="11">
        <v>27066</v>
      </c>
      <c r="AB47" s="11">
        <v>-23157</v>
      </c>
      <c r="AC47" s="11">
        <v>56917</v>
      </c>
      <c r="AD47" s="11">
        <v>8741</v>
      </c>
      <c r="AE47" s="11"/>
      <c r="AF47" s="11">
        <v>25268</v>
      </c>
      <c r="AG47" s="11">
        <v>969513</v>
      </c>
      <c r="AH47" s="11">
        <v>150163</v>
      </c>
      <c r="AI47" s="12">
        <f>SUM(B47:AH47)</f>
        <v>1739242.58913</v>
      </c>
    </row>
    <row r="48" spans="1:35" x14ac:dyDescent="0.25">
      <c r="A48" s="11" t="s">
        <v>241</v>
      </c>
      <c r="B48" s="11">
        <v>5891</v>
      </c>
      <c r="C48" s="11">
        <v>146076</v>
      </c>
      <c r="D48" s="11"/>
      <c r="E48" s="11">
        <v>506990</v>
      </c>
      <c r="F48" s="11">
        <v>89154</v>
      </c>
      <c r="G48" s="11">
        <v>270706</v>
      </c>
      <c r="H48" s="11">
        <v>154</v>
      </c>
      <c r="I48" s="11"/>
      <c r="J48" s="11">
        <v>126213</v>
      </c>
      <c r="K48" s="11">
        <v>45037</v>
      </c>
      <c r="L48" s="11">
        <v>481605</v>
      </c>
      <c r="M48" s="11">
        <v>104732</v>
      </c>
      <c r="N48" s="11">
        <v>549555</v>
      </c>
      <c r="O48" s="11">
        <v>230545</v>
      </c>
      <c r="P48" s="11">
        <v>20111</v>
      </c>
      <c r="Q48" s="11">
        <v>48892</v>
      </c>
      <c r="R48" s="11">
        <v>6726</v>
      </c>
      <c r="S48" s="11">
        <v>12515</v>
      </c>
      <c r="T48" s="11">
        <v>50979</v>
      </c>
      <c r="U48" s="11">
        <v>387517.49687000003</v>
      </c>
      <c r="V48" s="11">
        <v>618</v>
      </c>
      <c r="W48" s="11">
        <v>2661415</v>
      </c>
      <c r="X48" s="11">
        <v>464814</v>
      </c>
      <c r="Y48" s="11">
        <v>77</v>
      </c>
      <c r="Z48" s="11"/>
      <c r="AA48" s="11">
        <v>205469</v>
      </c>
      <c r="AB48" s="11">
        <v>128802</v>
      </c>
      <c r="AC48" s="11">
        <v>993430</v>
      </c>
      <c r="AD48" s="11">
        <v>9069</v>
      </c>
      <c r="AE48" s="11"/>
      <c r="AF48" s="11">
        <v>401052</v>
      </c>
      <c r="AG48" s="11">
        <v>266065</v>
      </c>
      <c r="AH48" s="11">
        <v>209203</v>
      </c>
      <c r="AI48" s="12">
        <f>SUM(B48:AH48)</f>
        <v>8423412.4968699999</v>
      </c>
    </row>
    <row r="49" spans="1:35" x14ac:dyDescent="0.25">
      <c r="A49" s="11" t="s">
        <v>242</v>
      </c>
      <c r="B49" s="11">
        <v>647</v>
      </c>
      <c r="C49" s="11">
        <v>169760</v>
      </c>
      <c r="D49" s="11"/>
      <c r="E49" s="11">
        <v>580411</v>
      </c>
      <c r="F49" s="11">
        <v>80699</v>
      </c>
      <c r="G49" s="11">
        <v>498114</v>
      </c>
      <c r="H49" s="11">
        <v>3924</v>
      </c>
      <c r="I49" s="11"/>
      <c r="J49" s="11">
        <v>149515</v>
      </c>
      <c r="K49" s="11">
        <v>24383</v>
      </c>
      <c r="L49" s="11">
        <v>1054844</v>
      </c>
      <c r="M49" s="11">
        <v>105587</v>
      </c>
      <c r="N49" s="11">
        <v>1154811</v>
      </c>
      <c r="O49" s="11">
        <v>203200</v>
      </c>
      <c r="P49" s="11">
        <v>25784</v>
      </c>
      <c r="Q49" s="11">
        <v>46537</v>
      </c>
      <c r="R49" s="11">
        <v>6652</v>
      </c>
      <c r="S49" s="11">
        <v>15429</v>
      </c>
      <c r="T49" s="11">
        <v>86081</v>
      </c>
      <c r="U49" s="11">
        <v>335694.72487000003</v>
      </c>
      <c r="V49" s="11">
        <v>2335</v>
      </c>
      <c r="W49" s="11">
        <v>1933600</v>
      </c>
      <c r="X49" s="11">
        <v>607905</v>
      </c>
      <c r="Y49" s="11">
        <v>131</v>
      </c>
      <c r="Z49" s="11"/>
      <c r="AA49" s="11">
        <v>242685</v>
      </c>
      <c r="AB49" s="11">
        <v>124007</v>
      </c>
      <c r="AC49" s="11">
        <v>1949593</v>
      </c>
      <c r="AD49" s="11">
        <v>9307</v>
      </c>
      <c r="AE49" s="11"/>
      <c r="AF49" s="11">
        <v>334718</v>
      </c>
      <c r="AG49" s="11">
        <v>368988</v>
      </c>
      <c r="AH49" s="11">
        <v>302586</v>
      </c>
      <c r="AI49" s="12">
        <f>SUM(B49:AH49)</f>
        <v>10417927.72487</v>
      </c>
    </row>
    <row r="51" spans="1:35" x14ac:dyDescent="0.25">
      <c r="A51" s="32" t="s">
        <v>234</v>
      </c>
    </row>
    <row r="52" spans="1:35" x14ac:dyDescent="0.25">
      <c r="A52" s="1" t="s">
        <v>0</v>
      </c>
      <c r="B52" s="73" t="s">
        <v>1</v>
      </c>
      <c r="C52" s="73" t="s">
        <v>2</v>
      </c>
      <c r="D52" s="73" t="s">
        <v>3</v>
      </c>
      <c r="E52" s="73" t="s">
        <v>4</v>
      </c>
      <c r="F52" s="73" t="s">
        <v>5</v>
      </c>
      <c r="G52" s="73" t="s">
        <v>6</v>
      </c>
      <c r="H52" s="73" t="s">
        <v>7</v>
      </c>
      <c r="I52" s="73" t="s">
        <v>8</v>
      </c>
      <c r="J52" s="73" t="s">
        <v>9</v>
      </c>
      <c r="K52" s="73" t="s">
        <v>10</v>
      </c>
      <c r="L52" s="73" t="s">
        <v>11</v>
      </c>
      <c r="M52" s="73" t="s">
        <v>293</v>
      </c>
      <c r="N52" s="73" t="s">
        <v>12</v>
      </c>
      <c r="O52" s="73" t="s">
        <v>13</v>
      </c>
      <c r="P52" s="73" t="s">
        <v>14</v>
      </c>
      <c r="Q52" s="73" t="s">
        <v>15</v>
      </c>
      <c r="R52" s="73" t="s">
        <v>16</v>
      </c>
      <c r="S52" s="73" t="s">
        <v>295</v>
      </c>
      <c r="T52" s="73" t="s">
        <v>17</v>
      </c>
      <c r="U52" s="73" t="s">
        <v>18</v>
      </c>
      <c r="V52" s="73" t="s">
        <v>294</v>
      </c>
      <c r="W52" s="73" t="s">
        <v>19</v>
      </c>
      <c r="X52" s="73" t="s">
        <v>20</v>
      </c>
      <c r="Y52" s="73" t="s">
        <v>21</v>
      </c>
      <c r="Z52" s="73" t="s">
        <v>22</v>
      </c>
      <c r="AA52" s="73" t="s">
        <v>23</v>
      </c>
      <c r="AB52" s="73" t="s">
        <v>24</v>
      </c>
      <c r="AC52" s="73" t="s">
        <v>25</v>
      </c>
      <c r="AD52" s="73" t="s">
        <v>26</v>
      </c>
      <c r="AE52" s="73" t="s">
        <v>27</v>
      </c>
      <c r="AF52" s="73" t="s">
        <v>28</v>
      </c>
      <c r="AG52" s="72" t="s">
        <v>29</v>
      </c>
      <c r="AH52" s="93" t="s">
        <v>30</v>
      </c>
      <c r="AI52" s="93" t="s">
        <v>31</v>
      </c>
    </row>
    <row r="53" spans="1:35" x14ac:dyDescent="0.25">
      <c r="A53" s="11" t="s">
        <v>283</v>
      </c>
      <c r="B53" s="11">
        <v>31031</v>
      </c>
      <c r="C53" s="11"/>
      <c r="D53" s="11"/>
      <c r="E53" s="11">
        <v>168258</v>
      </c>
      <c r="F53" s="11">
        <v>113073</v>
      </c>
      <c r="G53" s="11">
        <v>40847</v>
      </c>
      <c r="H53" s="11"/>
      <c r="I53" s="11"/>
      <c r="J53" s="11">
        <v>62907</v>
      </c>
      <c r="K53" s="11"/>
      <c r="L53" s="11">
        <v>4353</v>
      </c>
      <c r="M53" s="11"/>
      <c r="N53" s="11">
        <v>264120</v>
      </c>
      <c r="O53" s="11">
        <v>153054</v>
      </c>
      <c r="P53" s="11"/>
      <c r="Q53" s="11">
        <v>36820</v>
      </c>
      <c r="R53" s="11">
        <v>99</v>
      </c>
      <c r="S53" s="11"/>
      <c r="T53" s="11"/>
      <c r="U53" s="11">
        <v>228818.163</v>
      </c>
      <c r="V53" s="11"/>
      <c r="W53" s="11">
        <v>2142294</v>
      </c>
      <c r="X53" s="11">
        <v>211674</v>
      </c>
      <c r="Y53" s="11">
        <v>11463</v>
      </c>
      <c r="Z53" s="11">
        <v>83243</v>
      </c>
      <c r="AA53" s="11"/>
      <c r="AB53" s="11">
        <v>13102</v>
      </c>
      <c r="AC53" s="11">
        <v>66035</v>
      </c>
      <c r="AD53" s="11">
        <v>1907</v>
      </c>
      <c r="AE53" s="11"/>
      <c r="AF53" s="11">
        <v>899769</v>
      </c>
      <c r="AG53" s="11">
        <v>304049</v>
      </c>
      <c r="AH53" s="11">
        <v>12013</v>
      </c>
      <c r="AI53" s="12">
        <f>SUM(B53:AH53)</f>
        <v>4848929.1629999997</v>
      </c>
    </row>
    <row r="54" spans="1:35" x14ac:dyDescent="0.25">
      <c r="A54" s="11" t="s">
        <v>286</v>
      </c>
      <c r="B54" s="11"/>
      <c r="C54" s="11"/>
      <c r="D54" s="11"/>
      <c r="E54" s="11"/>
      <c r="F54" s="11">
        <v>90</v>
      </c>
      <c r="G54" s="11"/>
      <c r="H54" s="11"/>
      <c r="I54" s="11"/>
      <c r="J54" s="11">
        <v>5831</v>
      </c>
      <c r="K54" s="11"/>
      <c r="L54" s="11">
        <v>1159</v>
      </c>
      <c r="M54" s="11"/>
      <c r="N54" s="11"/>
      <c r="O54" s="11">
        <v>2857</v>
      </c>
      <c r="P54" s="11"/>
      <c r="Q54" s="11">
        <v>2313</v>
      </c>
      <c r="R54" s="11"/>
      <c r="S54" s="11"/>
      <c r="T54" s="11"/>
      <c r="U54" s="11">
        <v>0</v>
      </c>
      <c r="V54" s="11"/>
      <c r="W54" s="11">
        <v>896</v>
      </c>
      <c r="X54" s="11">
        <v>84</v>
      </c>
      <c r="Y54" s="11">
        <v>3585</v>
      </c>
      <c r="Z54" s="11">
        <v>489</v>
      </c>
      <c r="AA54" s="11"/>
      <c r="AB54" s="11"/>
      <c r="AC54" s="11">
        <v>2956</v>
      </c>
      <c r="AD54" s="11"/>
      <c r="AE54" s="11"/>
      <c r="AF54" s="11">
        <v>109629</v>
      </c>
      <c r="AG54" s="11"/>
      <c r="AH54" s="11"/>
      <c r="AI54" s="12">
        <f>SUM(B54:AH54)</f>
        <v>129889</v>
      </c>
    </row>
    <row r="55" spans="1:35" x14ac:dyDescent="0.25">
      <c r="A55" s="11" t="s">
        <v>287</v>
      </c>
      <c r="B55" s="11">
        <v>20047</v>
      </c>
      <c r="C55" s="11"/>
      <c r="D55" s="11"/>
      <c r="E55" s="11">
        <v>133643</v>
      </c>
      <c r="F55" s="11">
        <v>58233</v>
      </c>
      <c r="G55" s="11">
        <v>27382</v>
      </c>
      <c r="H55" s="11"/>
      <c r="I55" s="11"/>
      <c r="J55" s="11">
        <v>44167</v>
      </c>
      <c r="K55" s="11"/>
      <c r="L55" s="11">
        <v>-2989</v>
      </c>
      <c r="M55" s="11"/>
      <c r="N55" s="11">
        <v>194987</v>
      </c>
      <c r="O55" s="11">
        <v>34106</v>
      </c>
      <c r="P55" s="11"/>
      <c r="Q55" s="11">
        <v>24914</v>
      </c>
      <c r="R55" s="11">
        <v>-82</v>
      </c>
      <c r="S55" s="11"/>
      <c r="T55" s="11"/>
      <c r="U55" s="11">
        <v>129446.41520000139</v>
      </c>
      <c r="V55" s="11"/>
      <c r="W55" s="11">
        <v>841678</v>
      </c>
      <c r="X55" s="11">
        <v>45054</v>
      </c>
      <c r="Y55" s="11">
        <v>3651</v>
      </c>
      <c r="Z55" s="11">
        <v>35968</v>
      </c>
      <c r="AA55" s="11"/>
      <c r="AB55" s="11">
        <v>-6287</v>
      </c>
      <c r="AC55" s="11">
        <v>56006</v>
      </c>
      <c r="AD55" s="11">
        <v>580</v>
      </c>
      <c r="AE55" s="11"/>
      <c r="AF55" s="11">
        <v>817159</v>
      </c>
      <c r="AG55" s="11">
        <v>157494</v>
      </c>
      <c r="AH55" s="11">
        <v>4105</v>
      </c>
      <c r="AI55" s="12">
        <f>SUM(B55:AH55)</f>
        <v>2619262.4152000016</v>
      </c>
    </row>
    <row r="56" spans="1:35" x14ac:dyDescent="0.25">
      <c r="A56" s="11" t="s">
        <v>241</v>
      </c>
      <c r="B56" s="11">
        <v>10984</v>
      </c>
      <c r="C56" s="11"/>
      <c r="D56" s="11"/>
      <c r="E56" s="11">
        <v>34615</v>
      </c>
      <c r="F56" s="11">
        <v>54931</v>
      </c>
      <c r="G56" s="11">
        <v>13465</v>
      </c>
      <c r="H56" s="11"/>
      <c r="I56" s="11"/>
      <c r="J56" s="11">
        <v>24571</v>
      </c>
      <c r="K56" s="11"/>
      <c r="L56" s="11">
        <v>2523</v>
      </c>
      <c r="M56" s="11"/>
      <c r="N56" s="11">
        <v>69133</v>
      </c>
      <c r="O56" s="11">
        <v>121805</v>
      </c>
      <c r="P56" s="11"/>
      <c r="Q56" s="11">
        <v>14218</v>
      </c>
      <c r="R56" s="11">
        <v>17</v>
      </c>
      <c r="S56" s="11"/>
      <c r="T56" s="11"/>
      <c r="U56" s="11">
        <v>99371.747799998615</v>
      </c>
      <c r="V56" s="11"/>
      <c r="W56" s="11">
        <v>1301512</v>
      </c>
      <c r="X56" s="11">
        <v>166704</v>
      </c>
      <c r="Y56" s="11">
        <v>11396</v>
      </c>
      <c r="Z56" s="11">
        <v>47764</v>
      </c>
      <c r="AA56" s="11"/>
      <c r="AB56" s="11">
        <v>6815</v>
      </c>
      <c r="AC56" s="11">
        <v>12985</v>
      </c>
      <c r="AD56" s="11">
        <v>1327</v>
      </c>
      <c r="AE56" s="11"/>
      <c r="AF56" s="11">
        <v>192239</v>
      </c>
      <c r="AG56" s="11">
        <v>146555</v>
      </c>
      <c r="AH56" s="11">
        <v>7908</v>
      </c>
      <c r="AI56" s="12">
        <f>SUM(B56:AH56)</f>
        <v>2340838.7477999986</v>
      </c>
    </row>
    <row r="57" spans="1:35" x14ac:dyDescent="0.25">
      <c r="A57" s="11" t="s">
        <v>242</v>
      </c>
      <c r="B57" s="11">
        <v>36558</v>
      </c>
      <c r="C57" s="11"/>
      <c r="D57" s="11"/>
      <c r="E57" s="11">
        <v>29480</v>
      </c>
      <c r="F57" s="11">
        <v>33265</v>
      </c>
      <c r="G57" s="11">
        <v>12564</v>
      </c>
      <c r="H57" s="11"/>
      <c r="I57" s="11"/>
      <c r="J57" s="11">
        <v>20617</v>
      </c>
      <c r="K57" s="11"/>
      <c r="L57" s="11">
        <v>3335</v>
      </c>
      <c r="M57" s="11"/>
      <c r="N57" s="11">
        <v>32241</v>
      </c>
      <c r="O57" s="11">
        <v>71452</v>
      </c>
      <c r="P57" s="11"/>
      <c r="Q57" s="11">
        <v>20927</v>
      </c>
      <c r="R57" s="11">
        <v>31</v>
      </c>
      <c r="S57" s="11"/>
      <c r="T57" s="11"/>
      <c r="U57" s="11">
        <v>127049.58779999861</v>
      </c>
      <c r="V57" s="11"/>
      <c r="W57" s="11">
        <v>1056036</v>
      </c>
      <c r="X57" s="11">
        <v>159333</v>
      </c>
      <c r="Y57" s="11">
        <v>12725</v>
      </c>
      <c r="Z57" s="11">
        <v>23442</v>
      </c>
      <c r="AA57" s="11"/>
      <c r="AB57" s="11">
        <v>7490</v>
      </c>
      <c r="AC57" s="11">
        <v>13382</v>
      </c>
      <c r="AD57" s="11">
        <v>700</v>
      </c>
      <c r="AE57" s="11"/>
      <c r="AF57" s="11">
        <v>180388</v>
      </c>
      <c r="AG57" s="11">
        <v>153199</v>
      </c>
      <c r="AH57" s="11">
        <v>3915</v>
      </c>
      <c r="AI57" s="12">
        <f>SUM(B57:AH57)</f>
        <v>1998129.5877999985</v>
      </c>
    </row>
    <row r="59" spans="1:35" x14ac:dyDescent="0.25">
      <c r="A59" s="32" t="s">
        <v>235</v>
      </c>
    </row>
    <row r="60" spans="1:35" x14ac:dyDescent="0.25">
      <c r="A60" s="1" t="s">
        <v>0</v>
      </c>
      <c r="B60" s="73" t="s">
        <v>1</v>
      </c>
      <c r="C60" s="73" t="s">
        <v>2</v>
      </c>
      <c r="D60" s="73" t="s">
        <v>3</v>
      </c>
      <c r="E60" s="73" t="s">
        <v>4</v>
      </c>
      <c r="F60" s="73" t="s">
        <v>5</v>
      </c>
      <c r="G60" s="73" t="s">
        <v>6</v>
      </c>
      <c r="H60" s="73" t="s">
        <v>7</v>
      </c>
      <c r="I60" s="73" t="s">
        <v>8</v>
      </c>
      <c r="J60" s="73" t="s">
        <v>9</v>
      </c>
      <c r="K60" s="73" t="s">
        <v>10</v>
      </c>
      <c r="L60" s="73" t="s">
        <v>11</v>
      </c>
      <c r="M60" s="73" t="s">
        <v>293</v>
      </c>
      <c r="N60" s="73" t="s">
        <v>12</v>
      </c>
      <c r="O60" s="73" t="s">
        <v>13</v>
      </c>
      <c r="P60" s="73" t="s">
        <v>14</v>
      </c>
      <c r="Q60" s="73" t="s">
        <v>15</v>
      </c>
      <c r="R60" s="73" t="s">
        <v>16</v>
      </c>
      <c r="S60" s="73" t="s">
        <v>295</v>
      </c>
      <c r="T60" s="73" t="s">
        <v>17</v>
      </c>
      <c r="U60" s="73" t="s">
        <v>18</v>
      </c>
      <c r="V60" s="73" t="s">
        <v>294</v>
      </c>
      <c r="W60" s="73" t="s">
        <v>19</v>
      </c>
      <c r="X60" s="73" t="s">
        <v>20</v>
      </c>
      <c r="Y60" s="73" t="s">
        <v>21</v>
      </c>
      <c r="Z60" s="73" t="s">
        <v>22</v>
      </c>
      <c r="AA60" s="73" t="s">
        <v>23</v>
      </c>
      <c r="AB60" s="73" t="s">
        <v>24</v>
      </c>
      <c r="AC60" s="73" t="s">
        <v>25</v>
      </c>
      <c r="AD60" s="73" t="s">
        <v>26</v>
      </c>
      <c r="AE60" s="73" t="s">
        <v>27</v>
      </c>
      <c r="AF60" s="73" t="s">
        <v>28</v>
      </c>
      <c r="AG60" s="72" t="s">
        <v>29</v>
      </c>
      <c r="AH60" s="93" t="s">
        <v>30</v>
      </c>
      <c r="AI60" s="93" t="s">
        <v>31</v>
      </c>
    </row>
    <row r="61" spans="1:35" x14ac:dyDescent="0.25">
      <c r="A61" s="11" t="s">
        <v>283</v>
      </c>
      <c r="B61" s="11"/>
      <c r="C61" s="11"/>
      <c r="D61" s="11"/>
      <c r="E61" s="11">
        <v>47736</v>
      </c>
      <c r="F61" s="11"/>
      <c r="G61" s="11"/>
      <c r="H61" s="11"/>
      <c r="I61" s="11"/>
      <c r="J61" s="11">
        <v>1126</v>
      </c>
      <c r="K61" s="11"/>
      <c r="L61" s="11">
        <v>18902</v>
      </c>
      <c r="M61" s="11"/>
      <c r="N61" s="11">
        <v>219187</v>
      </c>
      <c r="O61" s="11">
        <v>854</v>
      </c>
      <c r="P61" s="11"/>
      <c r="Q61" s="11"/>
      <c r="R61" s="11"/>
      <c r="S61" s="11"/>
      <c r="T61" s="11"/>
      <c r="U61" s="11">
        <v>72455.463341519993</v>
      </c>
      <c r="V61" s="11"/>
      <c r="W61" s="11">
        <v>353441</v>
      </c>
      <c r="X61" s="11">
        <v>299514</v>
      </c>
      <c r="Y61" s="11"/>
      <c r="Z61" s="11">
        <v>153015</v>
      </c>
      <c r="AA61" s="11"/>
      <c r="AB61" s="11"/>
      <c r="AC61" s="11">
        <v>335</v>
      </c>
      <c r="AD61" s="11"/>
      <c r="AE61" s="11"/>
      <c r="AF61" s="11"/>
      <c r="AG61" s="11">
        <v>110217</v>
      </c>
      <c r="AH61" s="11"/>
      <c r="AI61" s="12">
        <f>SUM(B61:AH61)</f>
        <v>1276782.4633415199</v>
      </c>
    </row>
    <row r="62" spans="1:35" x14ac:dyDescent="0.25">
      <c r="A62" s="11" t="s">
        <v>286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>
        <v>19053</v>
      </c>
      <c r="O62" s="11"/>
      <c r="P62" s="11"/>
      <c r="Q62" s="11"/>
      <c r="R62" s="11"/>
      <c r="S62" s="11"/>
      <c r="T62" s="11"/>
      <c r="U62" s="11">
        <v>256246.56677999999</v>
      </c>
      <c r="V62" s="11"/>
      <c r="W62" s="11">
        <v>511623</v>
      </c>
      <c r="X62" s="11">
        <v>508196</v>
      </c>
      <c r="Y62" s="11"/>
      <c r="Z62" s="11"/>
      <c r="AA62" s="11"/>
      <c r="AB62" s="11"/>
      <c r="AC62" s="11"/>
      <c r="AD62" s="11"/>
      <c r="AE62" s="11"/>
      <c r="AF62" s="11"/>
      <c r="AG62" s="11">
        <v>51849</v>
      </c>
      <c r="AH62" s="11"/>
      <c r="AI62" s="12">
        <f>SUM(B62:AH62)</f>
        <v>1346967.56678</v>
      </c>
    </row>
    <row r="63" spans="1:35" x14ac:dyDescent="0.25">
      <c r="A63" s="11" t="s">
        <v>287</v>
      </c>
      <c r="B63" s="11"/>
      <c r="C63" s="11"/>
      <c r="D63" s="11"/>
      <c r="E63" s="11">
        <v>45596</v>
      </c>
      <c r="F63" s="11"/>
      <c r="G63" s="11"/>
      <c r="H63" s="11"/>
      <c r="I63" s="11"/>
      <c r="J63" s="11">
        <v>56</v>
      </c>
      <c r="K63" s="11"/>
      <c r="L63" s="11">
        <v>-18836</v>
      </c>
      <c r="M63" s="11"/>
      <c r="N63" s="11">
        <v>213616</v>
      </c>
      <c r="O63" s="11">
        <v>854</v>
      </c>
      <c r="P63" s="11"/>
      <c r="Q63" s="11"/>
      <c r="R63" s="11"/>
      <c r="S63" s="11"/>
      <c r="T63" s="11"/>
      <c r="U63" s="11">
        <v>108360.6202</v>
      </c>
      <c r="V63" s="11"/>
      <c r="W63" s="11">
        <v>389984</v>
      </c>
      <c r="X63" s="11">
        <v>285442</v>
      </c>
      <c r="Y63" s="11"/>
      <c r="Z63" s="11">
        <v>104799</v>
      </c>
      <c r="AA63" s="11"/>
      <c r="AB63" s="11"/>
      <c r="AC63" s="11">
        <v>333</v>
      </c>
      <c r="AD63" s="11"/>
      <c r="AE63" s="11"/>
      <c r="AF63" s="11"/>
      <c r="AG63" s="11">
        <v>155800</v>
      </c>
      <c r="AH63" s="11"/>
      <c r="AI63" s="12">
        <f>SUM(B63:AH63)</f>
        <v>1286004.6202</v>
      </c>
    </row>
    <row r="64" spans="1:35" x14ac:dyDescent="0.25">
      <c r="A64" s="11" t="s">
        <v>241</v>
      </c>
      <c r="B64" s="11"/>
      <c r="C64" s="11"/>
      <c r="D64" s="11"/>
      <c r="E64" s="11">
        <v>2140</v>
      </c>
      <c r="F64" s="11"/>
      <c r="G64" s="11"/>
      <c r="H64" s="11"/>
      <c r="I64" s="11"/>
      <c r="J64" s="11">
        <v>1070</v>
      </c>
      <c r="K64" s="11"/>
      <c r="L64" s="11">
        <v>66</v>
      </c>
      <c r="M64" s="11"/>
      <c r="N64" s="11">
        <v>24624</v>
      </c>
      <c r="O64" s="11"/>
      <c r="P64" s="11"/>
      <c r="Q64" s="11"/>
      <c r="R64" s="11"/>
      <c r="S64" s="11"/>
      <c r="T64" s="11"/>
      <c r="U64" s="11">
        <v>220341.40992151998</v>
      </c>
      <c r="V64" s="11"/>
      <c r="W64" s="11">
        <v>475080</v>
      </c>
      <c r="X64" s="11">
        <v>522268</v>
      </c>
      <c r="Y64" s="11"/>
      <c r="Z64" s="11">
        <v>48216</v>
      </c>
      <c r="AA64" s="11"/>
      <c r="AB64" s="11"/>
      <c r="AC64" s="11">
        <v>2</v>
      </c>
      <c r="AD64" s="11"/>
      <c r="AE64" s="11"/>
      <c r="AF64" s="11"/>
      <c r="AG64" s="11">
        <v>6266</v>
      </c>
      <c r="AH64" s="11"/>
      <c r="AI64" s="12">
        <f>SUM(B64:AH64)</f>
        <v>1300073.4099215199</v>
      </c>
    </row>
    <row r="65" spans="1:35" x14ac:dyDescent="0.25">
      <c r="A65" s="11" t="s">
        <v>242</v>
      </c>
      <c r="B65" s="11"/>
      <c r="C65" s="11"/>
      <c r="D65" s="11"/>
      <c r="E65" s="11">
        <v>26932</v>
      </c>
      <c r="F65" s="11"/>
      <c r="G65" s="11"/>
      <c r="H65" s="11"/>
      <c r="I65" s="11"/>
      <c r="J65" s="11">
        <v>6024</v>
      </c>
      <c r="K65" s="11"/>
      <c r="L65" s="11">
        <v>86</v>
      </c>
      <c r="M65" s="11"/>
      <c r="N65" s="11">
        <v>43379</v>
      </c>
      <c r="O65" s="11">
        <v>71</v>
      </c>
      <c r="P65" s="11"/>
      <c r="Q65" s="11"/>
      <c r="R65" s="11"/>
      <c r="S65" s="11"/>
      <c r="T65" s="11"/>
      <c r="U65" s="11">
        <v>199135.85092151997</v>
      </c>
      <c r="V65" s="11"/>
      <c r="W65" s="11">
        <v>452349</v>
      </c>
      <c r="X65" s="11">
        <v>329203</v>
      </c>
      <c r="Y65" s="11"/>
      <c r="Z65" s="11">
        <v>23125</v>
      </c>
      <c r="AA65" s="11"/>
      <c r="AB65" s="11"/>
      <c r="AC65" s="11">
        <v>3</v>
      </c>
      <c r="AD65" s="11"/>
      <c r="AE65" s="11"/>
      <c r="AF65" s="11"/>
      <c r="AG65" s="11">
        <v>153622</v>
      </c>
      <c r="AH65" s="11"/>
      <c r="AI65" s="12">
        <f>SUM(B65:AH65)</f>
        <v>1233929.85092152</v>
      </c>
    </row>
    <row r="67" spans="1:35" x14ac:dyDescent="0.25">
      <c r="A67" s="32" t="s">
        <v>236</v>
      </c>
    </row>
    <row r="68" spans="1:35" x14ac:dyDescent="0.25">
      <c r="A68" s="1" t="s">
        <v>0</v>
      </c>
      <c r="B68" s="73" t="s">
        <v>1</v>
      </c>
      <c r="C68" s="73" t="s">
        <v>2</v>
      </c>
      <c r="D68" s="73" t="s">
        <v>3</v>
      </c>
      <c r="E68" s="73" t="s">
        <v>4</v>
      </c>
      <c r="F68" s="73" t="s">
        <v>5</v>
      </c>
      <c r="G68" s="73" t="s">
        <v>6</v>
      </c>
      <c r="H68" s="73" t="s">
        <v>7</v>
      </c>
      <c r="I68" s="73" t="s">
        <v>8</v>
      </c>
      <c r="J68" s="73" t="s">
        <v>9</v>
      </c>
      <c r="K68" s="73" t="s">
        <v>10</v>
      </c>
      <c r="L68" s="73" t="s">
        <v>11</v>
      </c>
      <c r="M68" s="73" t="s">
        <v>293</v>
      </c>
      <c r="N68" s="73" t="s">
        <v>12</v>
      </c>
      <c r="O68" s="73" t="s">
        <v>13</v>
      </c>
      <c r="P68" s="73" t="s">
        <v>14</v>
      </c>
      <c r="Q68" s="73" t="s">
        <v>15</v>
      </c>
      <c r="R68" s="73" t="s">
        <v>16</v>
      </c>
      <c r="S68" s="73" t="s">
        <v>295</v>
      </c>
      <c r="T68" s="73" t="s">
        <v>17</v>
      </c>
      <c r="U68" s="73" t="s">
        <v>18</v>
      </c>
      <c r="V68" s="73" t="s">
        <v>294</v>
      </c>
      <c r="W68" s="73" t="s">
        <v>19</v>
      </c>
      <c r="X68" s="73" t="s">
        <v>20</v>
      </c>
      <c r="Y68" s="73" t="s">
        <v>21</v>
      </c>
      <c r="Z68" s="73" t="s">
        <v>22</v>
      </c>
      <c r="AA68" s="73" t="s">
        <v>23</v>
      </c>
      <c r="AB68" s="73" t="s">
        <v>24</v>
      </c>
      <c r="AC68" s="73" t="s">
        <v>25</v>
      </c>
      <c r="AD68" s="73" t="s">
        <v>26</v>
      </c>
      <c r="AE68" s="73" t="s">
        <v>27</v>
      </c>
      <c r="AF68" s="73" t="s">
        <v>28</v>
      </c>
      <c r="AG68" s="72" t="s">
        <v>29</v>
      </c>
      <c r="AH68" s="93" t="s">
        <v>30</v>
      </c>
      <c r="AI68" s="93" t="s">
        <v>31</v>
      </c>
    </row>
    <row r="69" spans="1:35" x14ac:dyDescent="0.25">
      <c r="A69" s="11" t="s">
        <v>283</v>
      </c>
      <c r="B69" s="11">
        <f t="shared" ref="B69:AH69" si="0">B77-B61-B53-B45-B37-B29-B21-B13-B5</f>
        <v>0</v>
      </c>
      <c r="C69" s="11">
        <f t="shared" si="0"/>
        <v>0</v>
      </c>
      <c r="D69" s="11">
        <f t="shared" si="0"/>
        <v>3296159</v>
      </c>
      <c r="E69" s="11">
        <f t="shared" si="0"/>
        <v>2687975</v>
      </c>
      <c r="F69" s="11">
        <f t="shared" si="0"/>
        <v>205146</v>
      </c>
      <c r="G69" s="11">
        <f t="shared" si="0"/>
        <v>55655</v>
      </c>
      <c r="H69" s="11">
        <f t="shared" si="0"/>
        <v>239</v>
      </c>
      <c r="I69" s="11">
        <f t="shared" si="0"/>
        <v>1705713.42</v>
      </c>
      <c r="J69" s="11">
        <f t="shared" si="0"/>
        <v>1517446</v>
      </c>
      <c r="K69" s="11">
        <f t="shared" si="0"/>
        <v>137677</v>
      </c>
      <c r="L69" s="11">
        <f t="shared" si="0"/>
        <v>1478215</v>
      </c>
      <c r="M69" s="11">
        <f t="shared" si="0"/>
        <v>3748</v>
      </c>
      <c r="N69" s="11">
        <f t="shared" si="0"/>
        <v>2290888</v>
      </c>
      <c r="O69" s="11">
        <f t="shared" si="0"/>
        <v>3129714</v>
      </c>
      <c r="P69" s="11">
        <f t="shared" si="0"/>
        <v>20277</v>
      </c>
      <c r="Q69" s="11">
        <f t="shared" si="0"/>
        <v>235740</v>
      </c>
      <c r="R69" s="11">
        <f t="shared" si="0"/>
        <v>40339</v>
      </c>
      <c r="S69" s="11">
        <f t="shared" si="0"/>
        <v>0</v>
      </c>
      <c r="T69" s="11">
        <f t="shared" si="0"/>
        <v>0</v>
      </c>
      <c r="U69" s="11">
        <f t="shared" si="0"/>
        <v>869970.98492225166</v>
      </c>
      <c r="V69" s="11">
        <f t="shared" si="0"/>
        <v>15563</v>
      </c>
      <c r="W69" s="11">
        <f t="shared" si="0"/>
        <v>2814875</v>
      </c>
      <c r="X69" s="11">
        <f t="shared" si="0"/>
        <v>1161748</v>
      </c>
      <c r="Y69" s="11">
        <f t="shared" si="0"/>
        <v>140060</v>
      </c>
      <c r="Z69" s="11">
        <f t="shared" si="0"/>
        <v>7430214</v>
      </c>
      <c r="AA69" s="11">
        <f t="shared" si="0"/>
        <v>0</v>
      </c>
      <c r="AB69" s="11">
        <f t="shared" si="0"/>
        <v>50123</v>
      </c>
      <c r="AC69" s="11">
        <f t="shared" si="0"/>
        <v>2622255</v>
      </c>
      <c r="AD69" s="11">
        <f t="shared" si="0"/>
        <v>38223</v>
      </c>
      <c r="AE69" s="11">
        <f t="shared" si="0"/>
        <v>15386646</v>
      </c>
      <c r="AF69" s="11">
        <f t="shared" si="0"/>
        <v>664834</v>
      </c>
      <c r="AG69" s="11">
        <f t="shared" si="0"/>
        <v>2454214</v>
      </c>
      <c r="AH69" s="11">
        <f t="shared" si="0"/>
        <v>191311</v>
      </c>
      <c r="AI69" s="12">
        <f>SUM(B69:AH69)</f>
        <v>50644968.404922254</v>
      </c>
    </row>
    <row r="70" spans="1:35" x14ac:dyDescent="0.25">
      <c r="A70" s="11" t="s">
        <v>286</v>
      </c>
      <c r="B70" s="11">
        <f t="shared" ref="B70:AH70" si="1">B78-B62-B54-B46-B38-B30-B22-B14-B6</f>
        <v>0</v>
      </c>
      <c r="C70" s="11">
        <f t="shared" si="1"/>
        <v>0</v>
      </c>
      <c r="D70" s="11">
        <f t="shared" si="1"/>
        <v>0</v>
      </c>
      <c r="E70" s="11">
        <f t="shared" si="1"/>
        <v>5539</v>
      </c>
      <c r="F70" s="11">
        <f t="shared" si="1"/>
        <v>0</v>
      </c>
      <c r="G70" s="11">
        <f t="shared" si="1"/>
        <v>1854</v>
      </c>
      <c r="H70" s="11">
        <f t="shared" si="1"/>
        <v>521</v>
      </c>
      <c r="I70" s="11">
        <f t="shared" si="1"/>
        <v>0</v>
      </c>
      <c r="J70" s="11">
        <f t="shared" si="1"/>
        <v>0</v>
      </c>
      <c r="K70" s="11">
        <f t="shared" si="1"/>
        <v>91082</v>
      </c>
      <c r="L70" s="11">
        <f t="shared" si="1"/>
        <v>92182</v>
      </c>
      <c r="M70" s="11">
        <f t="shared" si="1"/>
        <v>0</v>
      </c>
      <c r="N70" s="11">
        <f t="shared" si="1"/>
        <v>89180</v>
      </c>
      <c r="O70" s="11">
        <f t="shared" si="1"/>
        <v>7415</v>
      </c>
      <c r="P70" s="11">
        <f t="shared" si="1"/>
        <v>521</v>
      </c>
      <c r="Q70" s="11">
        <f t="shared" si="1"/>
        <v>1084</v>
      </c>
      <c r="R70" s="11">
        <f t="shared" si="1"/>
        <v>538</v>
      </c>
      <c r="S70" s="11">
        <f t="shared" si="1"/>
        <v>0</v>
      </c>
      <c r="T70" s="11">
        <f t="shared" si="1"/>
        <v>0</v>
      </c>
      <c r="U70" s="11">
        <f t="shared" si="1"/>
        <v>50776.569369999983</v>
      </c>
      <c r="V70" s="11">
        <f t="shared" si="1"/>
        <v>0</v>
      </c>
      <c r="W70" s="11">
        <f t="shared" si="1"/>
        <v>16297</v>
      </c>
      <c r="X70" s="11">
        <f t="shared" si="1"/>
        <v>4152</v>
      </c>
      <c r="Y70" s="11">
        <f t="shared" si="1"/>
        <v>22858</v>
      </c>
      <c r="Z70" s="11">
        <f t="shared" si="1"/>
        <v>1877</v>
      </c>
      <c r="AA70" s="11">
        <f t="shared" si="1"/>
        <v>0</v>
      </c>
      <c r="AB70" s="11">
        <f t="shared" si="1"/>
        <v>155</v>
      </c>
      <c r="AC70" s="11">
        <f t="shared" si="1"/>
        <v>814</v>
      </c>
      <c r="AD70" s="11">
        <f t="shared" si="1"/>
        <v>18</v>
      </c>
      <c r="AE70" s="11">
        <f t="shared" si="1"/>
        <v>0</v>
      </c>
      <c r="AF70" s="11">
        <f t="shared" si="1"/>
        <v>1639</v>
      </c>
      <c r="AG70" s="11">
        <f t="shared" si="1"/>
        <v>18553</v>
      </c>
      <c r="AH70" s="11">
        <f t="shared" si="1"/>
        <v>0</v>
      </c>
      <c r="AI70" s="12">
        <f>SUM(B70:AH70)</f>
        <v>407055.56936999998</v>
      </c>
    </row>
    <row r="71" spans="1:35" x14ac:dyDescent="0.25">
      <c r="A71" s="11" t="s">
        <v>287</v>
      </c>
      <c r="B71" s="11">
        <f t="shared" ref="B71:AH71" si="2">B79-B63-B55-B47-B39-B31-B23-B15-B7</f>
        <v>0</v>
      </c>
      <c r="C71" s="11">
        <f t="shared" si="2"/>
        <v>0</v>
      </c>
      <c r="D71" s="11">
        <f t="shared" si="2"/>
        <v>2443822</v>
      </c>
      <c r="E71" s="11">
        <f t="shared" si="2"/>
        <v>1771424</v>
      </c>
      <c r="F71" s="11">
        <f t="shared" si="2"/>
        <v>138728</v>
      </c>
      <c r="G71" s="11">
        <f t="shared" si="2"/>
        <v>7249</v>
      </c>
      <c r="H71" s="11">
        <f t="shared" si="2"/>
        <v>288</v>
      </c>
      <c r="I71" s="11">
        <f t="shared" si="2"/>
        <v>509011.34</v>
      </c>
      <c r="J71" s="11">
        <f t="shared" si="2"/>
        <v>1037534</v>
      </c>
      <c r="K71" s="11">
        <f t="shared" si="2"/>
        <v>91336</v>
      </c>
      <c r="L71" s="11">
        <f t="shared" si="2"/>
        <v>-1180538</v>
      </c>
      <c r="M71" s="11">
        <f t="shared" si="2"/>
        <v>1428</v>
      </c>
      <c r="N71" s="11">
        <f t="shared" si="2"/>
        <v>1387673</v>
      </c>
      <c r="O71" s="11">
        <f t="shared" si="2"/>
        <v>2333977</v>
      </c>
      <c r="P71" s="11">
        <f t="shared" si="2"/>
        <v>9436</v>
      </c>
      <c r="Q71" s="11">
        <f t="shared" si="2"/>
        <v>241811</v>
      </c>
      <c r="R71" s="11">
        <f t="shared" si="2"/>
        <v>-35026</v>
      </c>
      <c r="S71" s="11">
        <f t="shared" si="2"/>
        <v>0</v>
      </c>
      <c r="T71" s="11">
        <f t="shared" si="2"/>
        <v>0</v>
      </c>
      <c r="U71" s="11">
        <f t="shared" si="2"/>
        <v>193065.167136095</v>
      </c>
      <c r="V71" s="11">
        <f t="shared" si="2"/>
        <v>-3396</v>
      </c>
      <c r="W71" s="11">
        <f t="shared" si="2"/>
        <v>192151</v>
      </c>
      <c r="X71" s="11">
        <f t="shared" si="2"/>
        <v>150630</v>
      </c>
      <c r="Y71" s="11">
        <f t="shared" si="2"/>
        <v>54965</v>
      </c>
      <c r="Z71" s="11">
        <f t="shared" si="2"/>
        <v>3262516</v>
      </c>
      <c r="AA71" s="11">
        <f t="shared" si="2"/>
        <v>0</v>
      </c>
      <c r="AB71" s="11">
        <f t="shared" si="2"/>
        <v>-21740</v>
      </c>
      <c r="AC71" s="11">
        <f t="shared" si="2"/>
        <v>1902171</v>
      </c>
      <c r="AD71" s="11">
        <f t="shared" si="2"/>
        <v>8907</v>
      </c>
      <c r="AE71" s="11">
        <f t="shared" si="2"/>
        <v>3849388</v>
      </c>
      <c r="AF71" s="11">
        <f t="shared" si="2"/>
        <v>304020</v>
      </c>
      <c r="AG71" s="11">
        <f t="shared" si="2"/>
        <v>961176</v>
      </c>
      <c r="AH71" s="11">
        <f t="shared" si="2"/>
        <v>80093</v>
      </c>
      <c r="AI71" s="12">
        <f>SUM(B71:AH71)</f>
        <v>19692099.507136095</v>
      </c>
    </row>
    <row r="72" spans="1:35" x14ac:dyDescent="0.25">
      <c r="A72" s="11" t="s">
        <v>241</v>
      </c>
      <c r="B72" s="11">
        <f t="shared" ref="B72:AH72" si="3">B80-B64-B56-B48-B40-B32-B24-B16-B8</f>
        <v>0</v>
      </c>
      <c r="C72" s="11">
        <f t="shared" si="3"/>
        <v>0</v>
      </c>
      <c r="D72" s="11">
        <f t="shared" si="3"/>
        <v>852337</v>
      </c>
      <c r="E72" s="11">
        <f t="shared" si="3"/>
        <v>922090</v>
      </c>
      <c r="F72" s="11">
        <f t="shared" si="3"/>
        <v>66415</v>
      </c>
      <c r="G72" s="11">
        <f t="shared" si="3"/>
        <v>50260</v>
      </c>
      <c r="H72" s="11">
        <f t="shared" si="3"/>
        <v>472</v>
      </c>
      <c r="I72" s="11">
        <f t="shared" si="3"/>
        <v>1196702.08</v>
      </c>
      <c r="J72" s="11">
        <f t="shared" si="3"/>
        <v>479911</v>
      </c>
      <c r="K72" s="11">
        <f t="shared" si="3"/>
        <v>137426</v>
      </c>
      <c r="L72" s="11">
        <f t="shared" si="3"/>
        <v>389859</v>
      </c>
      <c r="M72" s="11">
        <f t="shared" si="3"/>
        <v>2320</v>
      </c>
      <c r="N72" s="11">
        <f t="shared" si="3"/>
        <v>992395</v>
      </c>
      <c r="O72" s="11">
        <f t="shared" si="3"/>
        <v>803152</v>
      </c>
      <c r="P72" s="11">
        <f t="shared" si="3"/>
        <v>11362</v>
      </c>
      <c r="Q72" s="11">
        <f t="shared" si="3"/>
        <v>-4986</v>
      </c>
      <c r="R72" s="11">
        <f t="shared" si="3"/>
        <v>5851</v>
      </c>
      <c r="S72" s="11">
        <f t="shared" si="3"/>
        <v>0</v>
      </c>
      <c r="T72" s="11">
        <f t="shared" si="3"/>
        <v>0</v>
      </c>
      <c r="U72" s="11">
        <f t="shared" si="3"/>
        <v>727682.3871561531</v>
      </c>
      <c r="V72" s="11">
        <f t="shared" si="3"/>
        <v>12167</v>
      </c>
      <c r="W72" s="11">
        <f t="shared" si="3"/>
        <v>2639023</v>
      </c>
      <c r="X72" s="11">
        <f t="shared" si="3"/>
        <v>1015270</v>
      </c>
      <c r="Y72" s="11">
        <f t="shared" si="3"/>
        <v>107958</v>
      </c>
      <c r="Z72" s="11">
        <f t="shared" si="3"/>
        <v>4169575</v>
      </c>
      <c r="AA72" s="11">
        <f t="shared" si="3"/>
        <v>0</v>
      </c>
      <c r="AB72" s="11">
        <f t="shared" si="3"/>
        <v>28538</v>
      </c>
      <c r="AC72" s="11">
        <f t="shared" si="3"/>
        <v>720898</v>
      </c>
      <c r="AD72" s="11">
        <f t="shared" si="3"/>
        <v>29333</v>
      </c>
      <c r="AE72" s="11">
        <f t="shared" si="3"/>
        <v>11537257</v>
      </c>
      <c r="AF72" s="11">
        <f t="shared" si="3"/>
        <v>362453</v>
      </c>
      <c r="AG72" s="11">
        <f t="shared" si="3"/>
        <v>1511591</v>
      </c>
      <c r="AH72" s="11">
        <f t="shared" si="3"/>
        <v>111218</v>
      </c>
      <c r="AI72" s="12">
        <f>SUM(B72:AH72)</f>
        <v>28878529.467156153</v>
      </c>
    </row>
    <row r="73" spans="1:35" x14ac:dyDescent="0.25">
      <c r="A73" s="11" t="s">
        <v>242</v>
      </c>
      <c r="B73" s="11">
        <f t="shared" ref="B73:AH73" si="4">B81-B65-B57-B49-B41-B33-B25-B17-B9</f>
        <v>0</v>
      </c>
      <c r="C73" s="11">
        <f t="shared" si="4"/>
        <v>0</v>
      </c>
      <c r="D73" s="11">
        <f t="shared" si="4"/>
        <v>525922</v>
      </c>
      <c r="E73" s="11">
        <f t="shared" si="4"/>
        <v>1154343</v>
      </c>
      <c r="F73" s="11">
        <f t="shared" si="4"/>
        <v>121598</v>
      </c>
      <c r="G73" s="11">
        <f t="shared" si="4"/>
        <v>87279</v>
      </c>
      <c r="H73" s="11">
        <f t="shared" si="4"/>
        <v>-37</v>
      </c>
      <c r="I73" s="11">
        <f t="shared" si="4"/>
        <v>1470840.31</v>
      </c>
      <c r="J73" s="11">
        <f t="shared" si="4"/>
        <v>550732</v>
      </c>
      <c r="K73" s="11">
        <f t="shared" si="4"/>
        <v>87579</v>
      </c>
      <c r="L73" s="11">
        <f t="shared" si="4"/>
        <v>689884</v>
      </c>
      <c r="M73" s="11">
        <f t="shared" si="4"/>
        <v>1649</v>
      </c>
      <c r="N73" s="11">
        <f t="shared" si="4"/>
        <v>939943</v>
      </c>
      <c r="O73" s="11">
        <f t="shared" si="4"/>
        <v>380644</v>
      </c>
      <c r="P73" s="11">
        <f t="shared" si="4"/>
        <v>9048</v>
      </c>
      <c r="Q73" s="11">
        <f t="shared" si="4"/>
        <v>76077</v>
      </c>
      <c r="R73" s="11">
        <f t="shared" si="4"/>
        <v>5711</v>
      </c>
      <c r="S73" s="11">
        <f t="shared" si="4"/>
        <v>0</v>
      </c>
      <c r="T73" s="11">
        <f t="shared" si="4"/>
        <v>0</v>
      </c>
      <c r="U73" s="11">
        <f t="shared" si="4"/>
        <v>1642485.936767058</v>
      </c>
      <c r="V73" s="11">
        <f t="shared" si="4"/>
        <v>5876</v>
      </c>
      <c r="W73" s="11">
        <f t="shared" si="4"/>
        <v>2241851</v>
      </c>
      <c r="X73" s="11">
        <f t="shared" si="4"/>
        <v>1777751</v>
      </c>
      <c r="Y73" s="11">
        <f t="shared" si="4"/>
        <v>87420</v>
      </c>
      <c r="Z73" s="11">
        <f t="shared" si="4"/>
        <v>2693446</v>
      </c>
      <c r="AA73" s="11">
        <f t="shared" si="4"/>
        <v>0</v>
      </c>
      <c r="AB73" s="11">
        <f t="shared" si="4"/>
        <v>28485</v>
      </c>
      <c r="AC73" s="11">
        <f t="shared" si="4"/>
        <v>1499450</v>
      </c>
      <c r="AD73" s="11">
        <f t="shared" si="4"/>
        <v>29659</v>
      </c>
      <c r="AE73" s="11">
        <f t="shared" si="4"/>
        <v>10620392</v>
      </c>
      <c r="AF73" s="11">
        <f t="shared" si="4"/>
        <v>369423</v>
      </c>
      <c r="AG73" s="11">
        <f t="shared" si="4"/>
        <v>1288105</v>
      </c>
      <c r="AH73" s="11">
        <f t="shared" si="4"/>
        <v>119306</v>
      </c>
      <c r="AI73" s="12">
        <f>SUM(B73:AH73)</f>
        <v>28504862.246767059</v>
      </c>
    </row>
    <row r="75" spans="1:35" x14ac:dyDescent="0.25">
      <c r="A75" s="32" t="s">
        <v>52</v>
      </c>
    </row>
    <row r="76" spans="1:35" x14ac:dyDescent="0.25">
      <c r="A76" s="1" t="s">
        <v>0</v>
      </c>
      <c r="B76" s="73" t="s">
        <v>1</v>
      </c>
      <c r="C76" s="73" t="s">
        <v>2</v>
      </c>
      <c r="D76" s="73" t="s">
        <v>3</v>
      </c>
      <c r="E76" s="73" t="s">
        <v>4</v>
      </c>
      <c r="F76" s="73" t="s">
        <v>5</v>
      </c>
      <c r="G76" s="73" t="s">
        <v>6</v>
      </c>
      <c r="H76" s="73" t="s">
        <v>7</v>
      </c>
      <c r="I76" s="73" t="s">
        <v>8</v>
      </c>
      <c r="J76" s="73" t="s">
        <v>9</v>
      </c>
      <c r="K76" s="73" t="s">
        <v>10</v>
      </c>
      <c r="L76" s="73" t="s">
        <v>11</v>
      </c>
      <c r="M76" s="73" t="s">
        <v>293</v>
      </c>
      <c r="N76" s="73" t="s">
        <v>12</v>
      </c>
      <c r="O76" s="73" t="s">
        <v>13</v>
      </c>
      <c r="P76" s="73" t="s">
        <v>14</v>
      </c>
      <c r="Q76" s="73" t="s">
        <v>15</v>
      </c>
      <c r="R76" s="73" t="s">
        <v>16</v>
      </c>
      <c r="S76" s="73" t="s">
        <v>295</v>
      </c>
      <c r="T76" s="73" t="s">
        <v>17</v>
      </c>
      <c r="U76" s="73" t="s">
        <v>18</v>
      </c>
      <c r="V76" s="73" t="s">
        <v>294</v>
      </c>
      <c r="W76" s="73" t="s">
        <v>19</v>
      </c>
      <c r="X76" s="73" t="s">
        <v>20</v>
      </c>
      <c r="Y76" s="73" t="s">
        <v>21</v>
      </c>
      <c r="Z76" s="73" t="s">
        <v>22</v>
      </c>
      <c r="AA76" s="73" t="s">
        <v>23</v>
      </c>
      <c r="AB76" s="73" t="s">
        <v>24</v>
      </c>
      <c r="AC76" s="73" t="s">
        <v>25</v>
      </c>
      <c r="AD76" s="73" t="s">
        <v>26</v>
      </c>
      <c r="AE76" s="73" t="s">
        <v>27</v>
      </c>
      <c r="AF76" s="73" t="s">
        <v>28</v>
      </c>
      <c r="AG76" s="72" t="s">
        <v>29</v>
      </c>
      <c r="AH76" s="93" t="s">
        <v>30</v>
      </c>
      <c r="AI76" s="93" t="s">
        <v>31</v>
      </c>
    </row>
    <row r="77" spans="1:35" x14ac:dyDescent="0.25">
      <c r="A77" s="11" t="s">
        <v>283</v>
      </c>
      <c r="B77" s="11">
        <v>562159</v>
      </c>
      <c r="C77" s="11">
        <v>2455978</v>
      </c>
      <c r="D77" s="11">
        <v>3296159</v>
      </c>
      <c r="E77" s="11">
        <v>22665270</v>
      </c>
      <c r="F77" s="11">
        <v>5089248</v>
      </c>
      <c r="G77" s="11">
        <v>8597703</v>
      </c>
      <c r="H77" s="11">
        <v>364990</v>
      </c>
      <c r="I77" s="11">
        <v>1705713.42</v>
      </c>
      <c r="J77" s="11">
        <v>6724753</v>
      </c>
      <c r="K77" s="11">
        <v>4063801</v>
      </c>
      <c r="L77" s="11">
        <v>15385793</v>
      </c>
      <c r="M77" s="11">
        <v>4458120</v>
      </c>
      <c r="N77" s="11">
        <v>33022120</v>
      </c>
      <c r="O77" s="11">
        <v>17344772</v>
      </c>
      <c r="P77" s="11">
        <v>974273</v>
      </c>
      <c r="Q77" s="11">
        <v>3195471</v>
      </c>
      <c r="R77" s="11">
        <v>2137760</v>
      </c>
      <c r="S77" s="11">
        <v>1430697</v>
      </c>
      <c r="T77" s="11">
        <v>3060210</v>
      </c>
      <c r="U77" s="11">
        <v>27020162</v>
      </c>
      <c r="V77" s="11">
        <v>105675</v>
      </c>
      <c r="W77" s="11">
        <v>79415902</v>
      </c>
      <c r="X77" s="11">
        <v>28613056</v>
      </c>
      <c r="Y77" s="11">
        <v>361327</v>
      </c>
      <c r="Z77" s="11">
        <v>18519007</v>
      </c>
      <c r="AA77" s="11">
        <v>4816294</v>
      </c>
      <c r="AB77" s="11">
        <v>5844399</v>
      </c>
      <c r="AC77" s="11">
        <v>12051689</v>
      </c>
      <c r="AD77" s="11">
        <v>4572421</v>
      </c>
      <c r="AE77" s="11">
        <v>15386646</v>
      </c>
      <c r="AF77" s="11">
        <v>17989658</v>
      </c>
      <c r="AG77" s="11">
        <v>39697594</v>
      </c>
      <c r="AH77" s="11">
        <v>4186207</v>
      </c>
      <c r="AI77" s="12">
        <f>SUM(B77:AH77)</f>
        <v>395115027.42000002</v>
      </c>
    </row>
    <row r="78" spans="1:35" x14ac:dyDescent="0.25">
      <c r="A78" s="11" t="s">
        <v>286</v>
      </c>
      <c r="B78" s="11"/>
      <c r="C78" s="11"/>
      <c r="D78" s="11"/>
      <c r="E78" s="11">
        <v>225945</v>
      </c>
      <c r="F78" s="11">
        <v>104671</v>
      </c>
      <c r="G78" s="11">
        <v>35697</v>
      </c>
      <c r="H78" s="11">
        <v>35911</v>
      </c>
      <c r="I78" s="11"/>
      <c r="J78" s="11">
        <v>307915</v>
      </c>
      <c r="K78" s="11">
        <v>2044200</v>
      </c>
      <c r="L78" s="11">
        <v>743665</v>
      </c>
      <c r="M78" s="11"/>
      <c r="N78" s="11">
        <v>920000</v>
      </c>
      <c r="O78" s="11">
        <v>409119</v>
      </c>
      <c r="P78" s="11">
        <v>9648</v>
      </c>
      <c r="Q78" s="11">
        <v>41909</v>
      </c>
      <c r="R78" s="11">
        <v>264689</v>
      </c>
      <c r="S78" s="11"/>
      <c r="T78" s="11"/>
      <c r="U78" s="11">
        <v>884616</v>
      </c>
      <c r="V78" s="11">
        <v>1185</v>
      </c>
      <c r="W78" s="11">
        <v>4267802</v>
      </c>
      <c r="X78" s="11">
        <v>531547</v>
      </c>
      <c r="Y78" s="11">
        <v>36644</v>
      </c>
      <c r="Z78" s="11">
        <v>325941</v>
      </c>
      <c r="AA78" s="11">
        <v>132079</v>
      </c>
      <c r="AB78" s="11">
        <v>252337</v>
      </c>
      <c r="AC78" s="11">
        <v>358024</v>
      </c>
      <c r="AD78" s="11">
        <v>20249</v>
      </c>
      <c r="AE78" s="11"/>
      <c r="AF78" s="11">
        <v>813706</v>
      </c>
      <c r="AG78" s="11">
        <v>406884</v>
      </c>
      <c r="AH78" s="11">
        <v>6206</v>
      </c>
      <c r="AI78" s="12">
        <f>SUM(B78:AH78)</f>
        <v>13180589</v>
      </c>
    </row>
    <row r="79" spans="1:35" x14ac:dyDescent="0.25">
      <c r="A79" s="11" t="s">
        <v>287</v>
      </c>
      <c r="B79" s="11">
        <v>278187</v>
      </c>
      <c r="C79" s="11">
        <v>622355</v>
      </c>
      <c r="D79" s="11">
        <v>2443822</v>
      </c>
      <c r="E79" s="11">
        <v>9153817</v>
      </c>
      <c r="F79" s="11">
        <v>1772088</v>
      </c>
      <c r="G79" s="11">
        <v>2269560</v>
      </c>
      <c r="H79" s="11">
        <v>98894</v>
      </c>
      <c r="I79" s="11">
        <v>509011.34</v>
      </c>
      <c r="J79" s="11">
        <v>2861688</v>
      </c>
      <c r="K79" s="11">
        <v>2240427</v>
      </c>
      <c r="L79" s="11">
        <v>-7939140</v>
      </c>
      <c r="M79" s="11">
        <v>1303416</v>
      </c>
      <c r="N79" s="11">
        <v>11750810</v>
      </c>
      <c r="O79" s="11">
        <v>7360579</v>
      </c>
      <c r="P79" s="11">
        <v>127755</v>
      </c>
      <c r="Q79" s="11">
        <v>979282</v>
      </c>
      <c r="R79" s="11">
        <v>-1026386</v>
      </c>
      <c r="S79" s="11">
        <v>73999</v>
      </c>
      <c r="T79" s="11">
        <v>713688</v>
      </c>
      <c r="U79" s="11">
        <v>3976517</v>
      </c>
      <c r="V79" s="11">
        <v>-15007</v>
      </c>
      <c r="W79" s="11">
        <v>15839346</v>
      </c>
      <c r="X79" s="11">
        <v>6179894</v>
      </c>
      <c r="Y79" s="11">
        <v>99426</v>
      </c>
      <c r="Z79" s="11">
        <v>9100274</v>
      </c>
      <c r="AA79" s="11">
        <v>1218904</v>
      </c>
      <c r="AB79" s="11">
        <v>-2144606</v>
      </c>
      <c r="AC79" s="11">
        <v>5457628</v>
      </c>
      <c r="AD79" s="11">
        <v>328975</v>
      </c>
      <c r="AE79" s="11">
        <v>3849388</v>
      </c>
      <c r="AF79" s="11">
        <v>7720735</v>
      </c>
      <c r="AG79" s="11">
        <v>8706799</v>
      </c>
      <c r="AH79" s="11">
        <v>1327427</v>
      </c>
      <c r="AI79" s="12">
        <f>SUM(B79:AH79)</f>
        <v>97239552.340000004</v>
      </c>
    </row>
    <row r="80" spans="1:35" x14ac:dyDescent="0.25">
      <c r="A80" s="11" t="s">
        <v>241</v>
      </c>
      <c r="B80" s="11">
        <v>283972</v>
      </c>
      <c r="C80" s="11">
        <v>1833623</v>
      </c>
      <c r="D80" s="11">
        <v>852337</v>
      </c>
      <c r="E80" s="11">
        <v>13737398</v>
      </c>
      <c r="F80" s="11">
        <v>3421831</v>
      </c>
      <c r="G80" s="11">
        <v>6363840</v>
      </c>
      <c r="H80" s="11">
        <v>302007</v>
      </c>
      <c r="I80" s="11">
        <v>1196702.08</v>
      </c>
      <c r="J80" s="11">
        <v>4170980</v>
      </c>
      <c r="K80" s="11">
        <v>3867575</v>
      </c>
      <c r="L80" s="11">
        <v>8190318</v>
      </c>
      <c r="M80" s="11">
        <v>3154704</v>
      </c>
      <c r="N80" s="11">
        <v>22191310</v>
      </c>
      <c r="O80" s="11">
        <v>10393312</v>
      </c>
      <c r="P80" s="11">
        <v>856166</v>
      </c>
      <c r="Q80" s="11">
        <v>2258098</v>
      </c>
      <c r="R80" s="11">
        <v>1376063</v>
      </c>
      <c r="S80" s="11">
        <v>1356698</v>
      </c>
      <c r="T80" s="11">
        <v>2346522</v>
      </c>
      <c r="U80" s="11">
        <v>23928261</v>
      </c>
      <c r="V80" s="11">
        <v>91853</v>
      </c>
      <c r="W80" s="11">
        <v>67844358</v>
      </c>
      <c r="X80" s="11">
        <v>22964709</v>
      </c>
      <c r="Y80" s="11">
        <v>298546</v>
      </c>
      <c r="Z80" s="11">
        <v>9744674</v>
      </c>
      <c r="AA80" s="11">
        <v>3729469</v>
      </c>
      <c r="AB80" s="11">
        <v>3952130</v>
      </c>
      <c r="AC80" s="11">
        <v>6952085</v>
      </c>
      <c r="AD80" s="11">
        <v>4263695</v>
      </c>
      <c r="AE80" s="11">
        <v>11537257</v>
      </c>
      <c r="AF80" s="11">
        <v>11082629</v>
      </c>
      <c r="AG80" s="11">
        <v>31397679</v>
      </c>
      <c r="AH80" s="11">
        <v>2864986</v>
      </c>
      <c r="AI80" s="12">
        <f>SUM(B80:AH80)</f>
        <v>288805787.07999998</v>
      </c>
    </row>
    <row r="81" spans="1:35" x14ac:dyDescent="0.25">
      <c r="A81" s="11" t="s">
        <v>242</v>
      </c>
      <c r="B81" s="11">
        <v>283499</v>
      </c>
      <c r="C81" s="11">
        <v>1516104</v>
      </c>
      <c r="D81" s="11">
        <v>525922</v>
      </c>
      <c r="E81" s="11">
        <v>18178079</v>
      </c>
      <c r="F81" s="11">
        <v>4163804</v>
      </c>
      <c r="G81" s="11">
        <v>8016812</v>
      </c>
      <c r="H81" s="11">
        <v>349559</v>
      </c>
      <c r="I81" s="11">
        <v>1470840.31</v>
      </c>
      <c r="J81" s="11">
        <v>4889210</v>
      </c>
      <c r="K81" s="11">
        <v>3882644</v>
      </c>
      <c r="L81" s="11">
        <v>10237350</v>
      </c>
      <c r="M81" s="11">
        <v>2281127</v>
      </c>
      <c r="N81" s="11">
        <v>23238392</v>
      </c>
      <c r="O81" s="11">
        <v>10440326</v>
      </c>
      <c r="P81" s="11">
        <v>851981</v>
      </c>
      <c r="Q81" s="11">
        <v>3115044</v>
      </c>
      <c r="R81" s="11">
        <v>1875578</v>
      </c>
      <c r="S81" s="11">
        <v>1276320</v>
      </c>
      <c r="T81" s="11">
        <v>2149187</v>
      </c>
      <c r="U81" s="11">
        <v>24176705</v>
      </c>
      <c r="V81" s="11">
        <v>213794</v>
      </c>
      <c r="W81" s="11">
        <v>60175543</v>
      </c>
      <c r="X81" s="11">
        <v>24418830</v>
      </c>
      <c r="Y81" s="11">
        <v>348739</v>
      </c>
      <c r="Z81" s="11">
        <v>8186074</v>
      </c>
      <c r="AA81" s="11">
        <v>3214458</v>
      </c>
      <c r="AB81" s="11">
        <v>5255500</v>
      </c>
      <c r="AC81" s="11">
        <v>8595110</v>
      </c>
      <c r="AD81" s="11">
        <v>5619483</v>
      </c>
      <c r="AE81" s="11">
        <v>10620392</v>
      </c>
      <c r="AF81" s="11">
        <v>11399157</v>
      </c>
      <c r="AG81" s="11">
        <v>31616661</v>
      </c>
      <c r="AH81" s="11">
        <v>3072559</v>
      </c>
      <c r="AI81" s="12">
        <f>SUM(B81:AH81)</f>
        <v>295654783.31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5" x14ac:dyDescent="0.25"/>
  <cols>
    <col min="1" max="1" width="45.140625" style="8" customWidth="1"/>
    <col min="2" max="35" width="16" style="8" customWidth="1"/>
    <col min="36" max="16384" width="9.140625" style="8"/>
  </cols>
  <sheetData>
    <row r="1" spans="1:35" ht="18.75" x14ac:dyDescent="0.3">
      <c r="A1" s="6" t="s">
        <v>239</v>
      </c>
    </row>
    <row r="2" spans="1:35" x14ac:dyDescent="0.25">
      <c r="A2" s="19" t="s">
        <v>44</v>
      </c>
    </row>
    <row r="3" spans="1:35" x14ac:dyDescent="0.25">
      <c r="A3" s="36" t="s">
        <v>228</v>
      </c>
    </row>
    <row r="4" spans="1:35" x14ac:dyDescent="0.25">
      <c r="A4" s="4" t="s">
        <v>0</v>
      </c>
      <c r="B4" s="73" t="s">
        <v>1</v>
      </c>
      <c r="C4" s="73" t="s">
        <v>2</v>
      </c>
      <c r="D4" s="73" t="s">
        <v>3</v>
      </c>
      <c r="E4" s="73" t="s">
        <v>4</v>
      </c>
      <c r="F4" s="73" t="s">
        <v>5</v>
      </c>
      <c r="G4" s="73" t="s">
        <v>6</v>
      </c>
      <c r="H4" s="73" t="s">
        <v>7</v>
      </c>
      <c r="I4" s="73" t="s">
        <v>8</v>
      </c>
      <c r="J4" s="73" t="s">
        <v>9</v>
      </c>
      <c r="K4" s="73" t="s">
        <v>10</v>
      </c>
      <c r="L4" s="73" t="s">
        <v>11</v>
      </c>
      <c r="M4" s="73" t="s">
        <v>293</v>
      </c>
      <c r="N4" s="73" t="s">
        <v>12</v>
      </c>
      <c r="O4" s="73" t="s">
        <v>13</v>
      </c>
      <c r="P4" s="73" t="s">
        <v>14</v>
      </c>
      <c r="Q4" s="73" t="s">
        <v>15</v>
      </c>
      <c r="R4" s="73" t="s">
        <v>16</v>
      </c>
      <c r="S4" s="73" t="s">
        <v>295</v>
      </c>
      <c r="T4" s="73" t="s">
        <v>17</v>
      </c>
      <c r="U4" s="73" t="s">
        <v>18</v>
      </c>
      <c r="V4" s="73" t="s">
        <v>294</v>
      </c>
      <c r="W4" s="73" t="s">
        <v>19</v>
      </c>
      <c r="X4" s="73" t="s">
        <v>20</v>
      </c>
      <c r="Y4" s="73" t="s">
        <v>21</v>
      </c>
      <c r="Z4" s="73" t="s">
        <v>22</v>
      </c>
      <c r="AA4" s="73" t="s">
        <v>23</v>
      </c>
      <c r="AB4" s="73" t="s">
        <v>24</v>
      </c>
      <c r="AC4" s="73" t="s">
        <v>25</v>
      </c>
      <c r="AD4" s="73" t="s">
        <v>26</v>
      </c>
      <c r="AE4" s="73" t="s">
        <v>27</v>
      </c>
      <c r="AF4" s="73" t="s">
        <v>28</v>
      </c>
      <c r="AG4" s="72" t="s">
        <v>29</v>
      </c>
      <c r="AH4" s="94" t="s">
        <v>30</v>
      </c>
      <c r="AI4" s="69" t="s">
        <v>31</v>
      </c>
    </row>
    <row r="5" spans="1:35" x14ac:dyDescent="0.25">
      <c r="A5" s="29" t="s">
        <v>240</v>
      </c>
      <c r="B5" s="11"/>
      <c r="C5" s="11"/>
      <c r="D5" s="11"/>
      <c r="E5" s="11">
        <v>816607</v>
      </c>
      <c r="F5" s="11">
        <v>95033</v>
      </c>
      <c r="G5" s="11">
        <v>71779</v>
      </c>
      <c r="H5" s="11">
        <v>44</v>
      </c>
      <c r="I5" s="11"/>
      <c r="J5" s="11">
        <v>198132</v>
      </c>
      <c r="K5" s="11">
        <v>3575.73</v>
      </c>
      <c r="L5" s="11">
        <v>895314</v>
      </c>
      <c r="M5" s="11"/>
      <c r="N5" s="11">
        <v>1830653</v>
      </c>
      <c r="O5" s="11">
        <v>278999</v>
      </c>
      <c r="P5" s="11">
        <v>8099</v>
      </c>
      <c r="Q5" s="11">
        <v>81627</v>
      </c>
      <c r="R5" s="11">
        <v>52466</v>
      </c>
      <c r="S5" s="11"/>
      <c r="T5" s="11"/>
      <c r="U5" s="11">
        <v>930747.37199999997</v>
      </c>
      <c r="V5" s="11">
        <v>115</v>
      </c>
      <c r="W5" s="11">
        <v>3643022</v>
      </c>
      <c r="X5" s="11">
        <v>844636</v>
      </c>
      <c r="Y5" s="11">
        <v>531</v>
      </c>
      <c r="Z5" s="11">
        <v>869908</v>
      </c>
      <c r="AA5" s="11"/>
      <c r="AB5" s="11">
        <v>118789</v>
      </c>
      <c r="AC5" s="11">
        <v>374939</v>
      </c>
      <c r="AD5" s="11">
        <v>11141</v>
      </c>
      <c r="AE5" s="11"/>
      <c r="AF5" s="11">
        <v>685827</v>
      </c>
      <c r="AG5" s="11">
        <v>1571049</v>
      </c>
      <c r="AH5" s="11">
        <v>179932</v>
      </c>
      <c r="AI5" s="11">
        <f t="shared" ref="AI5:AI11" si="0">SUM(B5:AH5)</f>
        <v>13562965.102</v>
      </c>
    </row>
    <row r="6" spans="1:35" x14ac:dyDescent="0.25">
      <c r="A6" s="29" t="s">
        <v>288</v>
      </c>
      <c r="B6" s="11"/>
      <c r="C6" s="11"/>
      <c r="D6" s="11"/>
      <c r="E6" s="11">
        <v>15033</v>
      </c>
      <c r="F6" s="11">
        <v>5655</v>
      </c>
      <c r="G6" s="11">
        <v>384</v>
      </c>
      <c r="H6" s="11">
        <v>94</v>
      </c>
      <c r="I6" s="11"/>
      <c r="J6" s="11">
        <v>83529</v>
      </c>
      <c r="K6" s="11">
        <v>24191.759999999998</v>
      </c>
      <c r="L6" s="11"/>
      <c r="M6" s="11"/>
      <c r="N6" s="11"/>
      <c r="O6" s="11">
        <v>57403</v>
      </c>
      <c r="P6" s="11">
        <v>22</v>
      </c>
      <c r="Q6" s="11">
        <v>5</v>
      </c>
      <c r="R6" s="11"/>
      <c r="S6" s="11"/>
      <c r="T6" s="11"/>
      <c r="U6" s="11">
        <v>386902.38799999998</v>
      </c>
      <c r="V6" s="11"/>
      <c r="W6" s="11"/>
      <c r="X6" s="11">
        <v>-143280</v>
      </c>
      <c r="Y6" s="11"/>
      <c r="Z6" s="11">
        <v>44445</v>
      </c>
      <c r="AA6" s="11"/>
      <c r="AB6" s="11">
        <v>3066</v>
      </c>
      <c r="AC6" s="11">
        <v>35</v>
      </c>
      <c r="AD6" s="11">
        <v>44</v>
      </c>
      <c r="AE6" s="11"/>
      <c r="AF6" s="11">
        <v>100194</v>
      </c>
      <c r="AG6" s="11">
        <v>29153</v>
      </c>
      <c r="AH6" s="11">
        <v>2</v>
      </c>
      <c r="AI6" s="11">
        <f t="shared" si="0"/>
        <v>606878.14800000004</v>
      </c>
    </row>
    <row r="7" spans="1:35" x14ac:dyDescent="0.25">
      <c r="A7" s="29" t="s">
        <v>289</v>
      </c>
      <c r="B7" s="11"/>
      <c r="C7" s="11"/>
      <c r="D7" s="11"/>
      <c r="E7" s="11">
        <v>563659</v>
      </c>
      <c r="F7" s="11">
        <v>67064</v>
      </c>
      <c r="G7" s="11">
        <v>38881</v>
      </c>
      <c r="H7" s="11">
        <v>-28511</v>
      </c>
      <c r="I7" s="11"/>
      <c r="J7" s="11">
        <v>208886</v>
      </c>
      <c r="K7" s="11">
        <v>22939.63</v>
      </c>
      <c r="L7" s="11"/>
      <c r="M7" s="11"/>
      <c r="N7" s="11"/>
      <c r="O7" s="11">
        <v>260071</v>
      </c>
      <c r="P7" s="11">
        <v>4727</v>
      </c>
      <c r="Q7" s="11">
        <v>64768</v>
      </c>
      <c r="R7" s="11"/>
      <c r="S7" s="11"/>
      <c r="T7" s="11"/>
      <c r="U7" s="11">
        <v>291250.85800000001</v>
      </c>
      <c r="V7" s="11"/>
      <c r="W7" s="11"/>
      <c r="X7" s="11">
        <v>1179574</v>
      </c>
      <c r="Y7" s="11">
        <v>237</v>
      </c>
      <c r="Z7" s="11">
        <v>818063</v>
      </c>
      <c r="AA7" s="11"/>
      <c r="AB7" s="11">
        <v>-88863</v>
      </c>
      <c r="AC7" s="11">
        <v>233454</v>
      </c>
      <c r="AD7" s="11">
        <v>5907</v>
      </c>
      <c r="AE7" s="11"/>
      <c r="AF7" s="11">
        <v>647149</v>
      </c>
      <c r="AG7" s="11">
        <v>5638039</v>
      </c>
      <c r="AH7" s="11">
        <v>96753</v>
      </c>
      <c r="AI7" s="11">
        <f t="shared" si="0"/>
        <v>10024048.488</v>
      </c>
    </row>
    <row r="8" spans="1:35" x14ac:dyDescent="0.25">
      <c r="A8" s="29" t="s">
        <v>292</v>
      </c>
      <c r="B8" s="11"/>
      <c r="C8" s="11"/>
      <c r="D8" s="11"/>
      <c r="E8" s="11"/>
      <c r="F8" s="11">
        <v>33624</v>
      </c>
      <c r="G8" s="11"/>
      <c r="H8" s="11"/>
      <c r="I8" s="11"/>
      <c r="J8" s="11">
        <v>72774</v>
      </c>
      <c r="K8" s="11">
        <v>4828</v>
      </c>
      <c r="L8" s="11"/>
      <c r="M8" s="11"/>
      <c r="N8" s="11"/>
      <c r="O8" s="11"/>
      <c r="P8" s="11"/>
      <c r="Q8" s="11"/>
      <c r="R8" s="11"/>
      <c r="S8" s="11"/>
      <c r="T8" s="11"/>
      <c r="U8" s="11">
        <v>1026398.902</v>
      </c>
      <c r="V8" s="11"/>
      <c r="W8" s="11"/>
      <c r="X8" s="11"/>
      <c r="Y8" s="11"/>
      <c r="Z8" s="11">
        <v>96290</v>
      </c>
      <c r="AA8" s="11"/>
      <c r="AB8" s="11"/>
      <c r="AC8" s="11"/>
      <c r="AD8" s="11">
        <v>5278</v>
      </c>
      <c r="AE8" s="11"/>
      <c r="AF8" s="11"/>
      <c r="AG8" s="11"/>
      <c r="AH8" s="11"/>
      <c r="AI8" s="11">
        <f t="shared" si="0"/>
        <v>1239192.902</v>
      </c>
    </row>
    <row r="9" spans="1:35" x14ac:dyDescent="0.25">
      <c r="A9" s="29" t="s">
        <v>291</v>
      </c>
      <c r="B9" s="11"/>
      <c r="C9" s="11"/>
      <c r="D9" s="11"/>
      <c r="E9" s="11">
        <v>2206159</v>
      </c>
      <c r="F9" s="11">
        <v>465344</v>
      </c>
      <c r="G9" s="11">
        <v>442067</v>
      </c>
      <c r="H9" s="11">
        <v>22887</v>
      </c>
      <c r="I9" s="11"/>
      <c r="J9" s="11">
        <v>963010</v>
      </c>
      <c r="K9" s="11">
        <v>236613</v>
      </c>
      <c r="L9" s="11">
        <v>10279847</v>
      </c>
      <c r="M9" s="11"/>
      <c r="N9" s="11">
        <v>20410881</v>
      </c>
      <c r="O9" s="11">
        <v>799186</v>
      </c>
      <c r="P9" s="11">
        <v>74256</v>
      </c>
      <c r="Q9" s="11">
        <v>570286</v>
      </c>
      <c r="R9" s="11">
        <v>2033568</v>
      </c>
      <c r="S9" s="11"/>
      <c r="T9" s="11"/>
      <c r="U9" s="11">
        <v>13462134.628</v>
      </c>
      <c r="V9" s="11">
        <v>39331</v>
      </c>
      <c r="W9" s="11">
        <v>62222006</v>
      </c>
      <c r="X9" s="11">
        <v>26340820</v>
      </c>
      <c r="Y9" s="11">
        <v>8455</v>
      </c>
      <c r="Z9" s="11">
        <v>1533579</v>
      </c>
      <c r="AA9" s="11"/>
      <c r="AB9" s="11">
        <v>2702166</v>
      </c>
      <c r="AC9" s="11">
        <v>1641141</v>
      </c>
      <c r="AD9" s="11">
        <v>259195</v>
      </c>
      <c r="AE9" s="11"/>
      <c r="AF9" s="11">
        <v>1308065</v>
      </c>
      <c r="AG9" s="11">
        <v>35694650</v>
      </c>
      <c r="AH9" s="11">
        <v>519580</v>
      </c>
      <c r="AI9" s="11">
        <f t="shared" si="0"/>
        <v>184235226.62799999</v>
      </c>
    </row>
    <row r="10" spans="1:35" x14ac:dyDescent="0.25">
      <c r="A10" s="29" t="s">
        <v>290</v>
      </c>
      <c r="B10" s="11"/>
      <c r="C10" s="11"/>
      <c r="D10" s="11"/>
      <c r="E10" s="11">
        <v>1777548</v>
      </c>
      <c r="F10" s="11">
        <v>338428</v>
      </c>
      <c r="G10" s="11">
        <v>286291</v>
      </c>
      <c r="H10" s="11">
        <v>46660</v>
      </c>
      <c r="I10" s="11"/>
      <c r="J10" s="11">
        <v>700302</v>
      </c>
      <c r="K10" s="11">
        <v>174730</v>
      </c>
      <c r="L10" s="11">
        <v>-10169564</v>
      </c>
      <c r="M10" s="11"/>
      <c r="N10" s="11">
        <v>19458908</v>
      </c>
      <c r="O10" s="11">
        <v>668345</v>
      </c>
      <c r="P10" s="11">
        <v>66041</v>
      </c>
      <c r="Q10" s="11">
        <v>597496</v>
      </c>
      <c r="R10" s="11">
        <v>-1725286</v>
      </c>
      <c r="S10" s="11"/>
      <c r="T10" s="11"/>
      <c r="U10" s="11">
        <v>12381474.805</v>
      </c>
      <c r="V10" s="11">
        <v>-34692</v>
      </c>
      <c r="W10" s="11">
        <v>55799175</v>
      </c>
      <c r="X10" s="11">
        <v>23824005</v>
      </c>
      <c r="Y10" s="11">
        <v>5216</v>
      </c>
      <c r="Z10" s="11">
        <v>1051937</v>
      </c>
      <c r="AA10" s="11"/>
      <c r="AB10" s="11">
        <v>-2181107</v>
      </c>
      <c r="AC10" s="11">
        <v>1318931</v>
      </c>
      <c r="AD10" s="11">
        <v>150124</v>
      </c>
      <c r="AE10" s="11"/>
      <c r="AF10" s="11">
        <v>1026333</v>
      </c>
      <c r="AG10" s="11">
        <v>28904513</v>
      </c>
      <c r="AH10" s="11">
        <v>366796</v>
      </c>
      <c r="AI10" s="11">
        <f t="shared" si="0"/>
        <v>134832604.80500001</v>
      </c>
    </row>
    <row r="11" spans="1:35" x14ac:dyDescent="0.25">
      <c r="A11" s="29" t="s">
        <v>285</v>
      </c>
      <c r="B11" s="11"/>
      <c r="C11" s="11"/>
      <c r="D11" s="11"/>
      <c r="E11" s="11">
        <v>696592</v>
      </c>
      <c r="F11" s="11">
        <v>160540</v>
      </c>
      <c r="G11" s="11">
        <v>189058</v>
      </c>
      <c r="H11" s="11">
        <v>4876</v>
      </c>
      <c r="I11" s="11"/>
      <c r="J11" s="11">
        <v>335482</v>
      </c>
      <c r="K11" s="11">
        <v>66711</v>
      </c>
      <c r="L11" s="11">
        <v>454232</v>
      </c>
      <c r="M11" s="11"/>
      <c r="N11" s="11">
        <v>902858</v>
      </c>
      <c r="O11" s="11">
        <v>207172</v>
      </c>
      <c r="P11" s="11">
        <v>11609</v>
      </c>
      <c r="Q11" s="11">
        <v>42542</v>
      </c>
      <c r="R11" s="11">
        <v>58582</v>
      </c>
      <c r="S11" s="11"/>
      <c r="T11" s="11"/>
      <c r="U11" s="11">
        <v>2107057.7250000015</v>
      </c>
      <c r="V11" s="11">
        <v>2686</v>
      </c>
      <c r="W11" s="11">
        <v>8038030</v>
      </c>
      <c r="X11" s="11">
        <v>2038597</v>
      </c>
      <c r="Y11" s="11">
        <v>3533</v>
      </c>
      <c r="Z11" s="11">
        <v>577932</v>
      </c>
      <c r="AA11" s="11"/>
      <c r="AB11" s="11">
        <v>132898</v>
      </c>
      <c r="AC11" s="11">
        <v>463730</v>
      </c>
      <c r="AD11" s="11">
        <v>114348</v>
      </c>
      <c r="AE11" s="11"/>
      <c r="AF11" s="11">
        <v>420604</v>
      </c>
      <c r="AG11" s="11">
        <v>2752300</v>
      </c>
      <c r="AH11" s="11">
        <v>235965</v>
      </c>
      <c r="AI11" s="11">
        <f t="shared" si="0"/>
        <v>20017934.725000001</v>
      </c>
    </row>
    <row r="12" spans="1:35" x14ac:dyDescent="0.25">
      <c r="A12" s="19"/>
    </row>
    <row r="13" spans="1:35" x14ac:dyDescent="0.25">
      <c r="A13" s="36" t="s">
        <v>229</v>
      </c>
    </row>
    <row r="14" spans="1:35" x14ac:dyDescent="0.25">
      <c r="A14" s="4" t="s">
        <v>0</v>
      </c>
      <c r="B14" s="73" t="s">
        <v>1</v>
      </c>
      <c r="C14" s="73" t="s">
        <v>2</v>
      </c>
      <c r="D14" s="73" t="s">
        <v>3</v>
      </c>
      <c r="E14" s="73" t="s">
        <v>4</v>
      </c>
      <c r="F14" s="73" t="s">
        <v>5</v>
      </c>
      <c r="G14" s="73" t="s">
        <v>6</v>
      </c>
      <c r="H14" s="73" t="s">
        <v>7</v>
      </c>
      <c r="I14" s="73" t="s">
        <v>8</v>
      </c>
      <c r="J14" s="73" t="s">
        <v>9</v>
      </c>
      <c r="K14" s="73" t="s">
        <v>10</v>
      </c>
      <c r="L14" s="73" t="s">
        <v>11</v>
      </c>
      <c r="M14" s="73" t="s">
        <v>293</v>
      </c>
      <c r="N14" s="73" t="s">
        <v>12</v>
      </c>
      <c r="O14" s="73" t="s">
        <v>13</v>
      </c>
      <c r="P14" s="73" t="s">
        <v>14</v>
      </c>
      <c r="Q14" s="73" t="s">
        <v>15</v>
      </c>
      <c r="R14" s="73" t="s">
        <v>16</v>
      </c>
      <c r="S14" s="73" t="s">
        <v>295</v>
      </c>
      <c r="T14" s="73" t="s">
        <v>17</v>
      </c>
      <c r="U14" s="73" t="s">
        <v>18</v>
      </c>
      <c r="V14" s="73" t="s">
        <v>294</v>
      </c>
      <c r="W14" s="73" t="s">
        <v>19</v>
      </c>
      <c r="X14" s="73" t="s">
        <v>20</v>
      </c>
      <c r="Y14" s="73" t="s">
        <v>21</v>
      </c>
      <c r="Z14" s="73" t="s">
        <v>22</v>
      </c>
      <c r="AA14" s="73" t="s">
        <v>23</v>
      </c>
      <c r="AB14" s="73" t="s">
        <v>24</v>
      </c>
      <c r="AC14" s="73" t="s">
        <v>25</v>
      </c>
      <c r="AD14" s="73" t="s">
        <v>26</v>
      </c>
      <c r="AE14" s="73" t="s">
        <v>27</v>
      </c>
      <c r="AF14" s="73" t="s">
        <v>28</v>
      </c>
      <c r="AG14" s="72" t="s">
        <v>29</v>
      </c>
      <c r="AH14" s="94" t="s">
        <v>30</v>
      </c>
      <c r="AI14" s="69" t="s">
        <v>31</v>
      </c>
    </row>
    <row r="15" spans="1:35" x14ac:dyDescent="0.25">
      <c r="A15" s="29" t="s">
        <v>240</v>
      </c>
      <c r="B15" s="11"/>
      <c r="C15" s="11"/>
      <c r="D15" s="11"/>
      <c r="E15" s="11">
        <v>149066</v>
      </c>
      <c r="F15" s="11">
        <v>80975</v>
      </c>
      <c r="G15" s="11">
        <v>38942</v>
      </c>
      <c r="H15" s="11">
        <v>2367</v>
      </c>
      <c r="I15" s="11"/>
      <c r="J15" s="11">
        <v>41489</v>
      </c>
      <c r="K15" s="11">
        <v>50.3</v>
      </c>
      <c r="L15" s="11">
        <f>192939+4699</f>
        <v>197638</v>
      </c>
      <c r="M15" s="11"/>
      <c r="N15" s="11">
        <v>557752</v>
      </c>
      <c r="O15" s="11">
        <v>125194</v>
      </c>
      <c r="P15" s="11"/>
      <c r="Q15" s="11">
        <v>24940</v>
      </c>
      <c r="R15" s="11">
        <v>41745</v>
      </c>
      <c r="S15" s="11"/>
      <c r="T15" s="11"/>
      <c r="U15" s="11">
        <v>133979.50099999999</v>
      </c>
      <c r="V15" s="11"/>
      <c r="W15" s="11">
        <v>385100</v>
      </c>
      <c r="X15" s="11">
        <v>228815</v>
      </c>
      <c r="Y15" s="11"/>
      <c r="Z15" s="11">
        <v>114348</v>
      </c>
      <c r="AA15" s="11"/>
      <c r="AB15" s="11">
        <v>22909</v>
      </c>
      <c r="AC15" s="11">
        <v>14148</v>
      </c>
      <c r="AD15" s="11">
        <v>154</v>
      </c>
      <c r="AE15" s="11"/>
      <c r="AF15" s="11">
        <v>301335</v>
      </c>
      <c r="AG15" s="11">
        <v>125191</v>
      </c>
      <c r="AH15" s="11">
        <v>3934</v>
      </c>
      <c r="AI15" s="11">
        <f t="shared" ref="AI15:AI21" si="1">SUM(B15:AH15)</f>
        <v>2590071.801</v>
      </c>
    </row>
    <row r="16" spans="1:35" x14ac:dyDescent="0.25">
      <c r="A16" s="29" t="s">
        <v>288</v>
      </c>
      <c r="B16" s="11"/>
      <c r="C16" s="11"/>
      <c r="D16" s="11"/>
      <c r="E16" s="11"/>
      <c r="F16" s="11">
        <v>3575</v>
      </c>
      <c r="G16" s="11"/>
      <c r="H16" s="11"/>
      <c r="I16" s="11"/>
      <c r="J16" s="11">
        <v>9061</v>
      </c>
      <c r="K16" s="11"/>
      <c r="L16" s="11"/>
      <c r="M16" s="11"/>
      <c r="N16" s="11"/>
      <c r="O16" s="11">
        <v>622</v>
      </c>
      <c r="P16" s="11"/>
      <c r="Q16" s="11"/>
      <c r="R16" s="11"/>
      <c r="S16" s="11"/>
      <c r="T16" s="11"/>
      <c r="U16" s="11">
        <v>48357.539000000004</v>
      </c>
      <c r="V16" s="11"/>
      <c r="W16" s="11"/>
      <c r="X16" s="11">
        <v>10494</v>
      </c>
      <c r="Y16" s="11"/>
      <c r="Z16" s="11"/>
      <c r="AA16" s="11"/>
      <c r="AB16" s="11"/>
      <c r="AC16" s="11"/>
      <c r="AD16" s="11"/>
      <c r="AE16" s="11"/>
      <c r="AF16" s="11">
        <v>18070</v>
      </c>
      <c r="AG16" s="11">
        <v>38915</v>
      </c>
      <c r="AH16" s="11"/>
      <c r="AI16" s="11">
        <f t="shared" si="1"/>
        <v>129094.539</v>
      </c>
    </row>
    <row r="17" spans="1:35" x14ac:dyDescent="0.25">
      <c r="A17" s="29" t="s">
        <v>289</v>
      </c>
      <c r="B17" s="11"/>
      <c r="C17" s="11"/>
      <c r="D17" s="11"/>
      <c r="E17" s="11">
        <v>20398</v>
      </c>
      <c r="F17" s="11">
        <v>13482</v>
      </c>
      <c r="G17" s="11">
        <v>26412</v>
      </c>
      <c r="H17" s="11">
        <v>-714</v>
      </c>
      <c r="I17" s="11"/>
      <c r="J17" s="11">
        <v>2244</v>
      </c>
      <c r="K17" s="11">
        <v>42.69</v>
      </c>
      <c r="L17" s="11"/>
      <c r="M17" s="11"/>
      <c r="N17" s="11"/>
      <c r="O17" s="11">
        <v>38629</v>
      </c>
      <c r="P17" s="11"/>
      <c r="Q17" s="11">
        <v>1220</v>
      </c>
      <c r="R17" s="11"/>
      <c r="S17" s="11"/>
      <c r="T17" s="11"/>
      <c r="U17" s="11">
        <v>-21939.37</v>
      </c>
      <c r="V17" s="11"/>
      <c r="W17" s="11"/>
      <c r="X17" s="11">
        <v>238114</v>
      </c>
      <c r="Y17" s="11"/>
      <c r="Z17" s="11">
        <v>105996</v>
      </c>
      <c r="AA17" s="11"/>
      <c r="AB17" s="11">
        <v>-12834</v>
      </c>
      <c r="AC17" s="11">
        <v>1910</v>
      </c>
      <c r="AD17" s="11">
        <v>8</v>
      </c>
      <c r="AE17" s="11"/>
      <c r="AF17" s="11">
        <v>-11132</v>
      </c>
      <c r="AG17" s="11">
        <v>207482</v>
      </c>
      <c r="AH17" s="11">
        <v>2431</v>
      </c>
      <c r="AI17" s="11">
        <f t="shared" si="1"/>
        <v>611749.32000000007</v>
      </c>
    </row>
    <row r="18" spans="1:35" x14ac:dyDescent="0.25">
      <c r="A18" s="29" t="s">
        <v>292</v>
      </c>
      <c r="B18" s="11"/>
      <c r="C18" s="11"/>
      <c r="D18" s="11"/>
      <c r="E18" s="11"/>
      <c r="F18" s="11">
        <v>71068</v>
      </c>
      <c r="G18" s="11"/>
      <c r="H18" s="11"/>
      <c r="I18" s="11"/>
      <c r="J18" s="11">
        <v>48305</v>
      </c>
      <c r="K18" s="11">
        <v>8</v>
      </c>
      <c r="L18" s="11"/>
      <c r="M18" s="11"/>
      <c r="N18" s="11"/>
      <c r="O18" s="11"/>
      <c r="P18" s="11"/>
      <c r="Q18" s="11"/>
      <c r="R18" s="11"/>
      <c r="S18" s="11"/>
      <c r="T18" s="11"/>
      <c r="U18" s="11">
        <v>204277.40999999997</v>
      </c>
      <c r="V18" s="11"/>
      <c r="W18" s="11"/>
      <c r="X18" s="11"/>
      <c r="Y18" s="11"/>
      <c r="Z18" s="11">
        <v>8352</v>
      </c>
      <c r="AA18" s="11"/>
      <c r="AB18" s="11"/>
      <c r="AC18" s="11"/>
      <c r="AD18" s="11">
        <v>146</v>
      </c>
      <c r="AE18" s="11"/>
      <c r="AF18" s="11"/>
      <c r="AG18" s="11"/>
      <c r="AH18" s="11"/>
      <c r="AI18" s="11">
        <f t="shared" si="1"/>
        <v>332156.40999999997</v>
      </c>
    </row>
    <row r="19" spans="1:35" x14ac:dyDescent="0.25">
      <c r="A19" s="29" t="s">
        <v>291</v>
      </c>
      <c r="B19" s="11"/>
      <c r="C19" s="11"/>
      <c r="D19" s="11"/>
      <c r="E19" s="11">
        <v>781320</v>
      </c>
      <c r="F19" s="11">
        <v>435738</v>
      </c>
      <c r="G19" s="11">
        <v>77984</v>
      </c>
      <c r="H19" s="11">
        <v>3806</v>
      </c>
      <c r="I19" s="11"/>
      <c r="J19" s="11">
        <v>367925</v>
      </c>
      <c r="K19" s="11">
        <v>1530.7</v>
      </c>
      <c r="L19" s="11">
        <f>1298708+970939</f>
        <v>2269647</v>
      </c>
      <c r="M19" s="11"/>
      <c r="N19" s="11">
        <v>9902421</v>
      </c>
      <c r="O19" s="11">
        <v>573444</v>
      </c>
      <c r="P19" s="11"/>
      <c r="Q19" s="11">
        <v>127466</v>
      </c>
      <c r="R19" s="11">
        <v>425028</v>
      </c>
      <c r="S19" s="11"/>
      <c r="T19" s="11"/>
      <c r="U19" s="11">
        <v>2132564.2750000004</v>
      </c>
      <c r="V19" s="11"/>
      <c r="W19" s="11">
        <v>7171295</v>
      </c>
      <c r="X19" s="11">
        <v>6199148</v>
      </c>
      <c r="Y19" s="11">
        <v>228</v>
      </c>
      <c r="Z19" s="11">
        <v>194226</v>
      </c>
      <c r="AA19" s="11"/>
      <c r="AB19" s="11">
        <f>2579+502503</f>
        <v>505082</v>
      </c>
      <c r="AC19" s="11">
        <v>213557</v>
      </c>
      <c r="AD19" s="11">
        <v>12120</v>
      </c>
      <c r="AE19" s="11"/>
      <c r="AF19" s="11">
        <v>1979726</v>
      </c>
      <c r="AG19" s="11">
        <v>6020076</v>
      </c>
      <c r="AH19" s="11">
        <f>26+28722</f>
        <v>28748</v>
      </c>
      <c r="AI19" s="11">
        <f t="shared" si="1"/>
        <v>39423079.975000001</v>
      </c>
    </row>
    <row r="20" spans="1:35" x14ac:dyDescent="0.25">
      <c r="A20" s="29" t="s">
        <v>290</v>
      </c>
      <c r="B20" s="11"/>
      <c r="C20" s="11"/>
      <c r="D20" s="11"/>
      <c r="E20" s="11">
        <v>714403</v>
      </c>
      <c r="F20" s="11">
        <v>419719</v>
      </c>
      <c r="G20" s="11">
        <v>64986</v>
      </c>
      <c r="H20" s="11">
        <v>6162</v>
      </c>
      <c r="I20" s="11"/>
      <c r="J20" s="11">
        <v>340696</v>
      </c>
      <c r="K20" s="11">
        <v>270.47000000000003</v>
      </c>
      <c r="L20" s="11">
        <f>-1093378-1274444</f>
        <v>-2367822</v>
      </c>
      <c r="M20" s="11"/>
      <c r="N20" s="11">
        <v>5899044</v>
      </c>
      <c r="O20" s="11">
        <v>584103</v>
      </c>
      <c r="P20" s="11"/>
      <c r="Q20" s="11">
        <v>142203</v>
      </c>
      <c r="R20" s="11">
        <v>-484869</v>
      </c>
      <c r="S20" s="11"/>
      <c r="T20" s="11"/>
      <c r="U20" s="11">
        <v>1907749.3829999997</v>
      </c>
      <c r="V20" s="11"/>
      <c r="W20" s="11">
        <v>6320172</v>
      </c>
      <c r="X20" s="11">
        <v>5839119</v>
      </c>
      <c r="Y20" s="11">
        <v>168</v>
      </c>
      <c r="Z20" s="11">
        <v>199656</v>
      </c>
      <c r="AA20" s="11"/>
      <c r="AB20" s="11">
        <f>-2579-416753</f>
        <v>-419332</v>
      </c>
      <c r="AC20" s="11">
        <v>161178</v>
      </c>
      <c r="AD20" s="11">
        <v>13065</v>
      </c>
      <c r="AE20" s="11"/>
      <c r="AF20" s="11">
        <v>1799545</v>
      </c>
      <c r="AG20" s="11">
        <v>5744652</v>
      </c>
      <c r="AH20" s="11">
        <f>19+23302</f>
        <v>23321</v>
      </c>
      <c r="AI20" s="11">
        <f t="shared" si="1"/>
        <v>26908188.853</v>
      </c>
    </row>
    <row r="21" spans="1:35" x14ac:dyDescent="0.25">
      <c r="A21" s="29" t="s">
        <v>285</v>
      </c>
      <c r="B21" s="11"/>
      <c r="C21" s="11"/>
      <c r="D21" s="11"/>
      <c r="E21" s="11">
        <v>195585</v>
      </c>
      <c r="F21" s="11">
        <v>87087</v>
      </c>
      <c r="G21" s="11">
        <v>25528</v>
      </c>
      <c r="H21" s="11">
        <v>725</v>
      </c>
      <c r="I21" s="11"/>
      <c r="J21" s="11">
        <v>75534</v>
      </c>
      <c r="K21" s="11">
        <v>1268</v>
      </c>
      <c r="L21" s="11">
        <f>191387-300</f>
        <v>191087</v>
      </c>
      <c r="M21" s="11"/>
      <c r="N21" s="11">
        <v>496874</v>
      </c>
      <c r="O21" s="11">
        <v>76528</v>
      </c>
      <c r="P21" s="11"/>
      <c r="Q21" s="11">
        <v>7202</v>
      </c>
      <c r="R21" s="11">
        <v>3008</v>
      </c>
      <c r="S21" s="11"/>
      <c r="T21" s="11"/>
      <c r="U21" s="11">
        <v>429092.30200000084</v>
      </c>
      <c r="V21" s="11"/>
      <c r="W21" s="11">
        <v>304965</v>
      </c>
      <c r="X21" s="11">
        <v>361224</v>
      </c>
      <c r="Y21" s="11">
        <v>59</v>
      </c>
      <c r="Z21" s="11">
        <v>2922</v>
      </c>
      <c r="AA21" s="11"/>
      <c r="AB21" s="11">
        <v>29561</v>
      </c>
      <c r="AC21" s="11">
        <v>64617</v>
      </c>
      <c r="AD21" s="11">
        <v>-799</v>
      </c>
      <c r="AE21" s="11"/>
      <c r="AF21" s="11">
        <v>510718</v>
      </c>
      <c r="AG21" s="11">
        <v>232048</v>
      </c>
      <c r="AH21" s="11">
        <f>7+6923</f>
        <v>6930</v>
      </c>
      <c r="AI21" s="11">
        <f t="shared" si="1"/>
        <v>3101763.3020000011</v>
      </c>
    </row>
    <row r="22" spans="1:35" x14ac:dyDescent="0.25">
      <c r="A22" s="19"/>
    </row>
    <row r="23" spans="1:35" x14ac:dyDescent="0.25">
      <c r="A23" s="36" t="s">
        <v>230</v>
      </c>
    </row>
    <row r="24" spans="1:35" x14ac:dyDescent="0.25">
      <c r="A24" s="4" t="s">
        <v>0</v>
      </c>
      <c r="B24" s="73" t="s">
        <v>1</v>
      </c>
      <c r="C24" s="73" t="s">
        <v>2</v>
      </c>
      <c r="D24" s="73" t="s">
        <v>3</v>
      </c>
      <c r="E24" s="73" t="s">
        <v>4</v>
      </c>
      <c r="F24" s="73" t="s">
        <v>5</v>
      </c>
      <c r="G24" s="73" t="s">
        <v>6</v>
      </c>
      <c r="H24" s="73" t="s">
        <v>7</v>
      </c>
      <c r="I24" s="73" t="s">
        <v>8</v>
      </c>
      <c r="J24" s="73" t="s">
        <v>9</v>
      </c>
      <c r="K24" s="73" t="s">
        <v>10</v>
      </c>
      <c r="L24" s="73" t="s">
        <v>11</v>
      </c>
      <c r="M24" s="73" t="s">
        <v>293</v>
      </c>
      <c r="N24" s="73" t="s">
        <v>12</v>
      </c>
      <c r="O24" s="73" t="s">
        <v>13</v>
      </c>
      <c r="P24" s="73" t="s">
        <v>14</v>
      </c>
      <c r="Q24" s="73" t="s">
        <v>15</v>
      </c>
      <c r="R24" s="73" t="s">
        <v>16</v>
      </c>
      <c r="S24" s="73" t="s">
        <v>295</v>
      </c>
      <c r="T24" s="73" t="s">
        <v>17</v>
      </c>
      <c r="U24" s="73" t="s">
        <v>18</v>
      </c>
      <c r="V24" s="73" t="s">
        <v>294</v>
      </c>
      <c r="W24" s="73" t="s">
        <v>19</v>
      </c>
      <c r="X24" s="73" t="s">
        <v>20</v>
      </c>
      <c r="Y24" s="73" t="s">
        <v>21</v>
      </c>
      <c r="Z24" s="73" t="s">
        <v>22</v>
      </c>
      <c r="AA24" s="73" t="s">
        <v>23</v>
      </c>
      <c r="AB24" s="73" t="s">
        <v>24</v>
      </c>
      <c r="AC24" s="73" t="s">
        <v>25</v>
      </c>
      <c r="AD24" s="73" t="s">
        <v>26</v>
      </c>
      <c r="AE24" s="73" t="s">
        <v>27</v>
      </c>
      <c r="AF24" s="73" t="s">
        <v>28</v>
      </c>
      <c r="AG24" s="72" t="s">
        <v>29</v>
      </c>
      <c r="AH24" s="94" t="s">
        <v>30</v>
      </c>
      <c r="AI24" s="69" t="s">
        <v>31</v>
      </c>
    </row>
    <row r="25" spans="1:35" x14ac:dyDescent="0.25">
      <c r="A25" s="29" t="s">
        <v>240</v>
      </c>
      <c r="B25" s="11">
        <v>79574</v>
      </c>
      <c r="C25" s="11"/>
      <c r="D25" s="11"/>
      <c r="E25" s="11">
        <v>1598203</v>
      </c>
      <c r="F25" s="11">
        <v>425797</v>
      </c>
      <c r="G25" s="11">
        <v>1282773</v>
      </c>
      <c r="H25" s="11">
        <v>51505</v>
      </c>
      <c r="I25" s="11"/>
      <c r="J25" s="11">
        <v>452379</v>
      </c>
      <c r="K25" s="11">
        <v>335826</v>
      </c>
      <c r="L25" s="11">
        <f>1160232+301413</f>
        <v>1461645</v>
      </c>
      <c r="M25" s="11"/>
      <c r="N25" s="11">
        <v>3517271</v>
      </c>
      <c r="O25" s="11">
        <v>1934594</v>
      </c>
      <c r="P25" s="11">
        <v>81721</v>
      </c>
      <c r="Q25" s="11">
        <f>389315+42482</f>
        <v>431797</v>
      </c>
      <c r="R25" s="11">
        <v>149604</v>
      </c>
      <c r="S25" s="11"/>
      <c r="T25" s="11"/>
      <c r="U25" s="11">
        <v>4247690.0869999994</v>
      </c>
      <c r="V25" s="11">
        <v>17993</v>
      </c>
      <c r="W25" s="11">
        <v>7315415</v>
      </c>
      <c r="X25" s="11">
        <v>3030100</v>
      </c>
      <c r="Y25" s="11">
        <f>10162+188</f>
        <v>10350</v>
      </c>
      <c r="Z25" s="11">
        <v>1153279</v>
      </c>
      <c r="AA25" s="11"/>
      <c r="AB25" s="11">
        <v>921512</v>
      </c>
      <c r="AC25" s="11">
        <v>1753330</v>
      </c>
      <c r="AD25" s="11">
        <v>980841</v>
      </c>
      <c r="AE25" s="11"/>
      <c r="AF25" s="11">
        <v>1236284</v>
      </c>
      <c r="AG25" s="11">
        <v>4150297</v>
      </c>
      <c r="AH25" s="11">
        <f>338248+32765</f>
        <v>371013</v>
      </c>
      <c r="AI25" s="11">
        <f t="shared" ref="AI25:AI31" si="2">SUM(B25:AH25)</f>
        <v>36990793.086999997</v>
      </c>
    </row>
    <row r="26" spans="1:35" x14ac:dyDescent="0.25">
      <c r="A26" s="29" t="s">
        <v>288</v>
      </c>
      <c r="B26" s="11"/>
      <c r="C26" s="11"/>
      <c r="D26" s="11"/>
      <c r="E26" s="11"/>
      <c r="F26" s="11"/>
      <c r="G26" s="11"/>
      <c r="H26" s="11"/>
      <c r="I26" s="11"/>
      <c r="J26" s="11"/>
      <c r="K26" s="11">
        <v>23167</v>
      </c>
      <c r="L26" s="11"/>
      <c r="M26" s="11"/>
      <c r="N26" s="11"/>
      <c r="O26" s="11"/>
      <c r="P26" s="11"/>
      <c r="Q26" s="11"/>
      <c r="R26" s="11"/>
      <c r="S26" s="11"/>
      <c r="T26" s="11"/>
      <c r="U26" s="11">
        <v>0</v>
      </c>
      <c r="V26" s="11"/>
      <c r="W26" s="11"/>
      <c r="X26" s="11">
        <v>1840</v>
      </c>
      <c r="Y26" s="11"/>
      <c r="Z26" s="11"/>
      <c r="AA26" s="11"/>
      <c r="AB26" s="11"/>
      <c r="AC26" s="11"/>
      <c r="AD26" s="11"/>
      <c r="AE26" s="11"/>
      <c r="AF26" s="11"/>
      <c r="AG26" s="11">
        <v>-2</v>
      </c>
      <c r="AH26" s="11"/>
      <c r="AI26" s="11">
        <f t="shared" si="2"/>
        <v>25005</v>
      </c>
    </row>
    <row r="27" spans="1:35" x14ac:dyDescent="0.25">
      <c r="A27" s="29" t="s">
        <v>289</v>
      </c>
      <c r="B27" s="11">
        <v>49775</v>
      </c>
      <c r="C27" s="11"/>
      <c r="D27" s="11"/>
      <c r="E27" s="11">
        <v>128399</v>
      </c>
      <c r="F27" s="11">
        <v>26861</v>
      </c>
      <c r="G27" s="11">
        <v>318325</v>
      </c>
      <c r="H27" s="11">
        <v>-442166</v>
      </c>
      <c r="I27" s="11"/>
      <c r="J27" s="11">
        <v>21210</v>
      </c>
      <c r="K27" s="11">
        <v>88630</v>
      </c>
      <c r="L27" s="11"/>
      <c r="M27" s="11"/>
      <c r="N27" s="11"/>
      <c r="O27" s="11">
        <v>508896</v>
      </c>
      <c r="P27" s="11">
        <v>4087</v>
      </c>
      <c r="Q27" s="11">
        <f>18191+2030</f>
        <v>20221</v>
      </c>
      <c r="R27" s="11"/>
      <c r="S27" s="11"/>
      <c r="T27" s="11"/>
      <c r="U27" s="11">
        <v>757736.71900000004</v>
      </c>
      <c r="V27" s="11"/>
      <c r="W27" s="11"/>
      <c r="X27" s="11">
        <v>688657</v>
      </c>
      <c r="Y27" s="11"/>
      <c r="Z27" s="11">
        <v>301465</v>
      </c>
      <c r="AA27" s="11"/>
      <c r="AB27" s="11">
        <v>-206756</v>
      </c>
      <c r="AC27" s="11">
        <v>195232</v>
      </c>
      <c r="AD27" s="11">
        <v>54616</v>
      </c>
      <c r="AE27" s="11"/>
      <c r="AF27" s="11">
        <v>418876</v>
      </c>
      <c r="AG27" s="11">
        <v>116104</v>
      </c>
      <c r="AH27" s="11">
        <f>17492+1542</f>
        <v>19034</v>
      </c>
      <c r="AI27" s="11">
        <f t="shared" si="2"/>
        <v>3069202.719</v>
      </c>
    </row>
    <row r="28" spans="1:35" x14ac:dyDescent="0.25">
      <c r="A28" s="29" t="s">
        <v>292</v>
      </c>
      <c r="B28" s="11">
        <v>29799</v>
      </c>
      <c r="C28" s="11"/>
      <c r="D28" s="11"/>
      <c r="E28" s="11"/>
      <c r="F28" s="11">
        <v>398935</v>
      </c>
      <c r="G28" s="11"/>
      <c r="H28" s="11"/>
      <c r="I28" s="11"/>
      <c r="J28" s="11">
        <v>431168</v>
      </c>
      <c r="K28" s="11">
        <v>270363</v>
      </c>
      <c r="L28" s="11"/>
      <c r="M28" s="11"/>
      <c r="N28" s="11"/>
      <c r="O28" s="11"/>
      <c r="P28" s="11"/>
      <c r="Q28" s="11"/>
      <c r="R28" s="11"/>
      <c r="S28" s="11"/>
      <c r="T28" s="11"/>
      <c r="U28" s="11">
        <v>3489953.3679999993</v>
      </c>
      <c r="V28" s="11"/>
      <c r="W28" s="11"/>
      <c r="X28" s="11"/>
      <c r="Y28" s="11"/>
      <c r="Z28" s="11">
        <v>851814</v>
      </c>
      <c r="AA28" s="11"/>
      <c r="AB28" s="11"/>
      <c r="AC28" s="11"/>
      <c r="AD28" s="11">
        <v>926225</v>
      </c>
      <c r="AE28" s="11"/>
      <c r="AF28" s="11"/>
      <c r="AG28" s="11"/>
      <c r="AH28" s="11"/>
      <c r="AI28" s="11">
        <f t="shared" si="2"/>
        <v>6398257.3679999989</v>
      </c>
    </row>
    <row r="29" spans="1:35" x14ac:dyDescent="0.25">
      <c r="A29" s="29" t="s">
        <v>291</v>
      </c>
      <c r="B29" s="11">
        <v>714138</v>
      </c>
      <c r="C29" s="11"/>
      <c r="D29" s="11"/>
      <c r="E29" s="11">
        <v>77348392</v>
      </c>
      <c r="F29" s="11">
        <v>22638893</v>
      </c>
      <c r="G29" s="11">
        <v>55736206</v>
      </c>
      <c r="H29" s="11">
        <v>160759</v>
      </c>
      <c r="I29" s="11"/>
      <c r="J29" s="11">
        <v>19237854</v>
      </c>
      <c r="K29" s="11">
        <v>10893130</v>
      </c>
      <c r="L29" s="11">
        <f>3983100+41857834</f>
        <v>45840934</v>
      </c>
      <c r="M29" s="11"/>
      <c r="N29" s="11">
        <v>112649396</v>
      </c>
      <c r="O29" s="11">
        <v>48535167</v>
      </c>
      <c r="P29" s="11">
        <v>2469053</v>
      </c>
      <c r="Q29" s="11">
        <f>8376844+834191</f>
        <v>9211035</v>
      </c>
      <c r="R29" s="11">
        <v>16122270</v>
      </c>
      <c r="S29" s="11"/>
      <c r="T29" s="11"/>
      <c r="U29" s="11">
        <v>142966835.29529878</v>
      </c>
      <c r="V29" s="11">
        <v>760335</v>
      </c>
      <c r="W29" s="11">
        <v>200796710</v>
      </c>
      <c r="X29" s="11">
        <v>116208499</v>
      </c>
      <c r="Y29" s="11">
        <f>23834+1996356</f>
        <v>2020190</v>
      </c>
      <c r="Z29" s="11">
        <v>49344599</v>
      </c>
      <c r="AA29" s="11"/>
      <c r="AB29" s="11">
        <v>35675928</v>
      </c>
      <c r="AC29" s="11">
        <v>15941186</v>
      </c>
      <c r="AD29" s="11">
        <v>64846731</v>
      </c>
      <c r="AE29" s="11"/>
      <c r="AF29" s="11">
        <v>46549601</v>
      </c>
      <c r="AG29" s="11">
        <v>177331211</v>
      </c>
      <c r="AH29" s="11">
        <f>867753+10239234</f>
        <v>11106987</v>
      </c>
      <c r="AI29" s="11">
        <f t="shared" si="2"/>
        <v>1285106039.2952988</v>
      </c>
    </row>
    <row r="30" spans="1:35" x14ac:dyDescent="0.25">
      <c r="A30" s="29" t="s">
        <v>290</v>
      </c>
      <c r="B30" s="11">
        <v>598782</v>
      </c>
      <c r="C30" s="11"/>
      <c r="D30" s="11"/>
      <c r="E30" s="11">
        <v>70960655</v>
      </c>
      <c r="F30" s="11">
        <v>20789158</v>
      </c>
      <c r="G30" s="11">
        <v>52128510</v>
      </c>
      <c r="H30" s="11">
        <v>455885</v>
      </c>
      <c r="I30" s="11"/>
      <c r="J30" s="11">
        <v>17797715</v>
      </c>
      <c r="K30" s="11">
        <v>8762277</v>
      </c>
      <c r="L30" s="11">
        <f>-38952857-2457740</f>
        <v>-41410597</v>
      </c>
      <c r="M30" s="11"/>
      <c r="N30" s="11">
        <v>105539066</v>
      </c>
      <c r="O30" s="11">
        <v>44577677</v>
      </c>
      <c r="P30" s="11">
        <v>2186158</v>
      </c>
      <c r="Q30" s="11">
        <f>8003610+695486</f>
        <v>8699096</v>
      </c>
      <c r="R30" s="11">
        <v>-14445655</v>
      </c>
      <c r="S30" s="11"/>
      <c r="T30" s="11"/>
      <c r="U30" s="11">
        <v>139204959.11799997</v>
      </c>
      <c r="V30" s="11">
        <v>-662365</v>
      </c>
      <c r="W30" s="11">
        <v>194212361</v>
      </c>
      <c r="X30" s="11">
        <v>112024436</v>
      </c>
      <c r="Y30" s="11">
        <f>7804+1761113</f>
        <v>1768917</v>
      </c>
      <c r="Z30" s="11">
        <v>46572451</v>
      </c>
      <c r="AA30" s="11"/>
      <c r="AB30" s="11">
        <v>-33256984</v>
      </c>
      <c r="AC30" s="11">
        <v>15433103</v>
      </c>
      <c r="AD30" s="11">
        <v>62221302</v>
      </c>
      <c r="AE30" s="11"/>
      <c r="AF30" s="11">
        <v>42192986</v>
      </c>
      <c r="AG30" s="11">
        <v>173596503</v>
      </c>
      <c r="AH30" s="11">
        <f>573632+9300971</f>
        <v>9874603</v>
      </c>
      <c r="AI30" s="11">
        <f t="shared" si="2"/>
        <v>1039820999.118</v>
      </c>
    </row>
    <row r="31" spans="1:35" x14ac:dyDescent="0.25">
      <c r="A31" s="29" t="s">
        <v>285</v>
      </c>
      <c r="B31" s="11">
        <v>145155</v>
      </c>
      <c r="C31" s="11"/>
      <c r="D31" s="11"/>
      <c r="E31" s="11">
        <v>7857541</v>
      </c>
      <c r="F31" s="11">
        <v>2248669</v>
      </c>
      <c r="G31" s="11">
        <v>4572144</v>
      </c>
      <c r="H31" s="11">
        <v>198545</v>
      </c>
      <c r="I31" s="11"/>
      <c r="J31" s="11">
        <v>1871308</v>
      </c>
      <c r="K31" s="11">
        <v>2401217</v>
      </c>
      <c r="L31" s="11">
        <f>2213425+2234916</f>
        <v>4448341</v>
      </c>
      <c r="M31" s="11"/>
      <c r="N31" s="11">
        <v>9640931</v>
      </c>
      <c r="O31" s="11">
        <v>5383188</v>
      </c>
      <c r="P31" s="11">
        <v>360529</v>
      </c>
      <c r="Q31" s="11">
        <f>502912+389261</f>
        <v>892173</v>
      </c>
      <c r="R31" s="11">
        <v>1461577</v>
      </c>
      <c r="S31" s="11"/>
      <c r="T31" s="11"/>
      <c r="U31" s="11">
        <v>7251829.5452988148</v>
      </c>
      <c r="V31" s="11">
        <v>110164</v>
      </c>
      <c r="W31" s="11">
        <v>13454263</v>
      </c>
      <c r="X31" s="11">
        <v>6527346</v>
      </c>
      <c r="Y31" s="11">
        <f>25684+235422</f>
        <v>261106</v>
      </c>
      <c r="Z31" s="11">
        <v>3623962</v>
      </c>
      <c r="AA31" s="11"/>
      <c r="AB31" s="11">
        <v>2845745</v>
      </c>
      <c r="AC31" s="11">
        <v>2066181</v>
      </c>
      <c r="AD31" s="11">
        <v>3551654</v>
      </c>
      <c r="AE31" s="11"/>
      <c r="AF31" s="11">
        <v>5174023</v>
      </c>
      <c r="AG31" s="11">
        <v>7768899</v>
      </c>
      <c r="AH31" s="11">
        <f>614877+969486</f>
        <v>1584363</v>
      </c>
      <c r="AI31" s="11">
        <f t="shared" si="2"/>
        <v>95700853.545298815</v>
      </c>
    </row>
    <row r="32" spans="1:35" x14ac:dyDescent="0.25">
      <c r="A32" s="19"/>
    </row>
    <row r="33" spans="1:35" x14ac:dyDescent="0.25">
      <c r="A33" s="36" t="s">
        <v>231</v>
      </c>
    </row>
    <row r="34" spans="1:35" x14ac:dyDescent="0.25">
      <c r="A34" s="4" t="s">
        <v>0</v>
      </c>
      <c r="B34" s="73" t="s">
        <v>1</v>
      </c>
      <c r="C34" s="73" t="s">
        <v>2</v>
      </c>
      <c r="D34" s="73" t="s">
        <v>3</v>
      </c>
      <c r="E34" s="73" t="s">
        <v>4</v>
      </c>
      <c r="F34" s="73" t="s">
        <v>5</v>
      </c>
      <c r="G34" s="73" t="s">
        <v>6</v>
      </c>
      <c r="H34" s="73" t="s">
        <v>7</v>
      </c>
      <c r="I34" s="73" t="s">
        <v>8</v>
      </c>
      <c r="J34" s="73" t="s">
        <v>9</v>
      </c>
      <c r="K34" s="73" t="s">
        <v>10</v>
      </c>
      <c r="L34" s="73" t="s">
        <v>11</v>
      </c>
      <c r="M34" s="73" t="s">
        <v>293</v>
      </c>
      <c r="N34" s="73" t="s">
        <v>12</v>
      </c>
      <c r="O34" s="73" t="s">
        <v>13</v>
      </c>
      <c r="P34" s="73" t="s">
        <v>14</v>
      </c>
      <c r="Q34" s="73" t="s">
        <v>15</v>
      </c>
      <c r="R34" s="73" t="s">
        <v>16</v>
      </c>
      <c r="S34" s="73" t="s">
        <v>295</v>
      </c>
      <c r="T34" s="73" t="s">
        <v>17</v>
      </c>
      <c r="U34" s="73" t="s">
        <v>18</v>
      </c>
      <c r="V34" s="73" t="s">
        <v>294</v>
      </c>
      <c r="W34" s="73" t="s">
        <v>19</v>
      </c>
      <c r="X34" s="73" t="s">
        <v>20</v>
      </c>
      <c r="Y34" s="73" t="s">
        <v>21</v>
      </c>
      <c r="Z34" s="73" t="s">
        <v>22</v>
      </c>
      <c r="AA34" s="73" t="s">
        <v>23</v>
      </c>
      <c r="AB34" s="73" t="s">
        <v>24</v>
      </c>
      <c r="AC34" s="73" t="s">
        <v>25</v>
      </c>
      <c r="AD34" s="73" t="s">
        <v>26</v>
      </c>
      <c r="AE34" s="73" t="s">
        <v>27</v>
      </c>
      <c r="AF34" s="73" t="s">
        <v>28</v>
      </c>
      <c r="AG34" s="72" t="s">
        <v>29</v>
      </c>
      <c r="AH34" s="94" t="s">
        <v>30</v>
      </c>
      <c r="AI34" s="69" t="s">
        <v>31</v>
      </c>
    </row>
    <row r="35" spans="1:35" x14ac:dyDescent="0.25">
      <c r="A35" s="29" t="s">
        <v>240</v>
      </c>
      <c r="B35" s="11"/>
      <c r="C35" s="11"/>
      <c r="D35" s="11"/>
      <c r="E35" s="11">
        <v>97999</v>
      </c>
      <c r="F35" s="11">
        <v>12727</v>
      </c>
      <c r="G35" s="11">
        <v>11675</v>
      </c>
      <c r="H35" s="11"/>
      <c r="I35" s="11"/>
      <c r="J35" s="11">
        <v>16595</v>
      </c>
      <c r="K35" s="11"/>
      <c r="L35" s="11">
        <v>109530</v>
      </c>
      <c r="M35" s="11"/>
      <c r="N35" s="11">
        <v>436295</v>
      </c>
      <c r="O35" s="11">
        <v>134491</v>
      </c>
      <c r="P35" s="11">
        <v>329</v>
      </c>
      <c r="Q35" s="11">
        <v>32283</v>
      </c>
      <c r="R35" s="11">
        <v>17563</v>
      </c>
      <c r="S35" s="11"/>
      <c r="T35" s="11"/>
      <c r="U35" s="11">
        <v>130065.336</v>
      </c>
      <c r="V35" s="11"/>
      <c r="W35" s="11">
        <v>751333</v>
      </c>
      <c r="X35" s="11">
        <v>105735</v>
      </c>
      <c r="Y35" s="11"/>
      <c r="Z35" s="11">
        <v>849187</v>
      </c>
      <c r="AA35" s="11"/>
      <c r="AB35" s="11">
        <v>49776</v>
      </c>
      <c r="AC35" s="11">
        <v>100103</v>
      </c>
      <c r="AD35" s="11">
        <v>5050</v>
      </c>
      <c r="AE35" s="11"/>
      <c r="AF35" s="11">
        <v>30369</v>
      </c>
      <c r="AG35" s="11">
        <v>260933</v>
      </c>
      <c r="AH35" s="11">
        <v>905</v>
      </c>
      <c r="AI35" s="11">
        <f t="shared" ref="AI35:AI41" si="3">SUM(B35:AH35)</f>
        <v>3152943.3360000001</v>
      </c>
    </row>
    <row r="36" spans="1:35" x14ac:dyDescent="0.25">
      <c r="A36" s="29" t="s">
        <v>288</v>
      </c>
      <c r="B36" s="11"/>
      <c r="C36" s="11"/>
      <c r="D36" s="11"/>
      <c r="E36" s="11">
        <v>218</v>
      </c>
      <c r="F36" s="11">
        <v>318</v>
      </c>
      <c r="G36" s="11">
        <v>74</v>
      </c>
      <c r="H36" s="11">
        <v>20</v>
      </c>
      <c r="I36" s="11"/>
      <c r="J36" s="11">
        <v>376</v>
      </c>
      <c r="K36" s="11">
        <v>20</v>
      </c>
      <c r="L36" s="11"/>
      <c r="M36" s="11"/>
      <c r="N36" s="11"/>
      <c r="O36" s="11">
        <v>1200</v>
      </c>
      <c r="P36" s="11">
        <v>20</v>
      </c>
      <c r="Q36" s="11">
        <v>19</v>
      </c>
      <c r="R36" s="11"/>
      <c r="S36" s="11"/>
      <c r="T36" s="11"/>
      <c r="U36" s="11">
        <v>51538.741000000002</v>
      </c>
      <c r="V36" s="11"/>
      <c r="W36" s="11"/>
      <c r="X36" s="11">
        <v>4009</v>
      </c>
      <c r="Y36" s="11"/>
      <c r="Z36" s="11">
        <v>81</v>
      </c>
      <c r="AA36" s="11"/>
      <c r="AB36" s="11">
        <v>621</v>
      </c>
      <c r="AC36" s="11">
        <v>16</v>
      </c>
      <c r="AD36" s="11">
        <v>42</v>
      </c>
      <c r="AE36" s="11"/>
      <c r="AF36" s="11">
        <v>14230</v>
      </c>
      <c r="AG36" s="11">
        <v>-46679</v>
      </c>
      <c r="AH36" s="11">
        <v>9</v>
      </c>
      <c r="AI36" s="11">
        <f t="shared" si="3"/>
        <v>26132.741000000009</v>
      </c>
    </row>
    <row r="37" spans="1:35" x14ac:dyDescent="0.25">
      <c r="A37" s="29" t="s">
        <v>289</v>
      </c>
      <c r="B37" s="11"/>
      <c r="C37" s="11"/>
      <c r="D37" s="11"/>
      <c r="E37" s="11">
        <v>74016</v>
      </c>
      <c r="F37" s="11">
        <v>8652</v>
      </c>
      <c r="G37" s="11">
        <v>2523</v>
      </c>
      <c r="H37" s="11">
        <v>-5819</v>
      </c>
      <c r="I37" s="11"/>
      <c r="J37" s="11">
        <v>13750</v>
      </c>
      <c r="K37" s="11"/>
      <c r="L37" s="11"/>
      <c r="M37" s="11"/>
      <c r="N37" s="11"/>
      <c r="O37" s="11">
        <v>106414</v>
      </c>
      <c r="P37" s="11">
        <v>260</v>
      </c>
      <c r="Q37" s="11">
        <v>22398</v>
      </c>
      <c r="R37" s="11"/>
      <c r="S37" s="11"/>
      <c r="T37" s="11"/>
      <c r="U37" s="11">
        <v>-26881.772000000001</v>
      </c>
      <c r="V37" s="11"/>
      <c r="W37" s="11"/>
      <c r="X37" s="11">
        <v>36493</v>
      </c>
      <c r="Y37" s="11"/>
      <c r="Z37" s="11">
        <v>783053</v>
      </c>
      <c r="AA37" s="11"/>
      <c r="AB37" s="11">
        <v>-46531</v>
      </c>
      <c r="AC37" s="11">
        <v>92433</v>
      </c>
      <c r="AD37" s="11">
        <v>686</v>
      </c>
      <c r="AE37" s="11"/>
      <c r="AF37" s="11">
        <v>40698</v>
      </c>
      <c r="AG37" s="11">
        <v>150251</v>
      </c>
      <c r="AH37" s="11">
        <v>692</v>
      </c>
      <c r="AI37" s="11">
        <f t="shared" si="3"/>
        <v>1253087.2280000001</v>
      </c>
    </row>
    <row r="38" spans="1:35" x14ac:dyDescent="0.25">
      <c r="A38" s="29" t="s">
        <v>292</v>
      </c>
      <c r="B38" s="11"/>
      <c r="C38" s="11"/>
      <c r="D38" s="11"/>
      <c r="E38" s="11"/>
      <c r="F38" s="11">
        <v>4392</v>
      </c>
      <c r="G38" s="11"/>
      <c r="H38" s="11"/>
      <c r="I38" s="11"/>
      <c r="J38" s="11">
        <v>3221</v>
      </c>
      <c r="K38" s="11">
        <v>20</v>
      </c>
      <c r="L38" s="11"/>
      <c r="M38" s="11"/>
      <c r="N38" s="11"/>
      <c r="O38" s="11"/>
      <c r="P38" s="11"/>
      <c r="Q38" s="11"/>
      <c r="R38" s="11"/>
      <c r="S38" s="11"/>
      <c r="T38" s="11"/>
      <c r="U38" s="11">
        <v>208485.84899999999</v>
      </c>
      <c r="V38" s="11"/>
      <c r="W38" s="11"/>
      <c r="X38" s="11"/>
      <c r="Y38" s="11"/>
      <c r="Z38" s="11">
        <v>66215</v>
      </c>
      <c r="AA38" s="11"/>
      <c r="AB38" s="11"/>
      <c r="AC38" s="11"/>
      <c r="AD38" s="11">
        <v>4405</v>
      </c>
      <c r="AE38" s="11"/>
      <c r="AF38" s="11"/>
      <c r="AG38" s="11"/>
      <c r="AH38" s="11"/>
      <c r="AI38" s="11">
        <f t="shared" si="3"/>
        <v>286738.84899999999</v>
      </c>
    </row>
    <row r="39" spans="1:35" x14ac:dyDescent="0.25">
      <c r="A39" s="29" t="s">
        <v>291</v>
      </c>
      <c r="B39" s="11"/>
      <c r="C39" s="11"/>
      <c r="D39" s="11"/>
      <c r="E39" s="11">
        <v>295512</v>
      </c>
      <c r="F39" s="11">
        <v>127676</v>
      </c>
      <c r="G39" s="11">
        <v>52500</v>
      </c>
      <c r="H39" s="11">
        <v>719</v>
      </c>
      <c r="I39" s="11"/>
      <c r="J39" s="11">
        <v>102387</v>
      </c>
      <c r="K39" s="11">
        <v>5938</v>
      </c>
      <c r="L39" s="11">
        <v>3171956</v>
      </c>
      <c r="M39" s="11"/>
      <c r="N39" s="11">
        <v>4183425</v>
      </c>
      <c r="O39" s="11">
        <v>222382</v>
      </c>
      <c r="P39" s="11">
        <v>1066</v>
      </c>
      <c r="Q39" s="11">
        <v>183688</v>
      </c>
      <c r="R39" s="11">
        <v>99665</v>
      </c>
      <c r="S39" s="11"/>
      <c r="T39" s="11"/>
      <c r="U39" s="11">
        <v>3168989.6316515948</v>
      </c>
      <c r="V39" s="11">
        <v>4311</v>
      </c>
      <c r="W39" s="11">
        <v>8462471</v>
      </c>
      <c r="X39" s="11">
        <v>3771287</v>
      </c>
      <c r="Y39" s="11">
        <v>1103</v>
      </c>
      <c r="Z39" s="11">
        <v>358754</v>
      </c>
      <c r="AA39" s="11"/>
      <c r="AB39" s="11">
        <v>890094</v>
      </c>
      <c r="AC39" s="11">
        <v>75212</v>
      </c>
      <c r="AD39" s="11">
        <v>145854</v>
      </c>
      <c r="AE39" s="11"/>
      <c r="AF39" s="11">
        <v>125512</v>
      </c>
      <c r="AG39" s="11">
        <v>11707225</v>
      </c>
      <c r="AH39" s="11">
        <v>44729</v>
      </c>
      <c r="AI39" s="11">
        <f t="shared" si="3"/>
        <v>37202455.631651595</v>
      </c>
    </row>
    <row r="40" spans="1:35" x14ac:dyDescent="0.25">
      <c r="A40" s="29" t="s">
        <v>290</v>
      </c>
      <c r="B40" s="11"/>
      <c r="C40" s="11"/>
      <c r="D40" s="11"/>
      <c r="E40" s="11">
        <v>252860</v>
      </c>
      <c r="F40" s="11">
        <v>111065</v>
      </c>
      <c r="G40" s="11">
        <v>55282</v>
      </c>
      <c r="H40" s="11">
        <v>5968</v>
      </c>
      <c r="I40" s="11"/>
      <c r="J40" s="11">
        <v>106996</v>
      </c>
      <c r="K40" s="11">
        <v>6542</v>
      </c>
      <c r="L40" s="11">
        <v>-2310386</v>
      </c>
      <c r="M40" s="11"/>
      <c r="N40" s="11">
        <v>4066521</v>
      </c>
      <c r="O40" s="11">
        <v>216850</v>
      </c>
      <c r="P40" s="11">
        <v>1023</v>
      </c>
      <c r="Q40" s="11">
        <v>190822</v>
      </c>
      <c r="R40" s="11">
        <v>-106889</v>
      </c>
      <c r="S40" s="11"/>
      <c r="T40" s="11"/>
      <c r="U40" s="11">
        <v>3093729.2790000001</v>
      </c>
      <c r="V40" s="11">
        <v>-3845</v>
      </c>
      <c r="W40" s="11">
        <v>8404933</v>
      </c>
      <c r="X40" s="11">
        <v>3738344</v>
      </c>
      <c r="Y40" s="11">
        <v>870</v>
      </c>
      <c r="Z40" s="11">
        <v>416962</v>
      </c>
      <c r="AA40" s="11"/>
      <c r="AB40" s="11">
        <v>-837333</v>
      </c>
      <c r="AC40" s="11">
        <v>84056</v>
      </c>
      <c r="AD40" s="11">
        <v>110665</v>
      </c>
      <c r="AE40" s="11"/>
      <c r="AF40" s="11">
        <v>92390</v>
      </c>
      <c r="AG40" s="11">
        <v>11553793</v>
      </c>
      <c r="AH40" s="11">
        <v>43219</v>
      </c>
      <c r="AI40" s="11">
        <f t="shared" si="3"/>
        <v>29294437.278999999</v>
      </c>
    </row>
    <row r="41" spans="1:35" x14ac:dyDescent="0.25">
      <c r="A41" s="29" t="s">
        <v>285</v>
      </c>
      <c r="B41" s="11"/>
      <c r="C41" s="11"/>
      <c r="D41" s="11"/>
      <c r="E41" s="11">
        <v>66853</v>
      </c>
      <c r="F41" s="11">
        <v>21003</v>
      </c>
      <c r="G41" s="11">
        <v>6444</v>
      </c>
      <c r="H41" s="11">
        <v>590</v>
      </c>
      <c r="I41" s="11"/>
      <c r="J41" s="11">
        <v>-1388</v>
      </c>
      <c r="K41" s="11">
        <v>-583</v>
      </c>
      <c r="L41" s="11">
        <v>211613</v>
      </c>
      <c r="M41" s="11"/>
      <c r="N41" s="11">
        <v>193827</v>
      </c>
      <c r="O41" s="11">
        <v>34809</v>
      </c>
      <c r="P41" s="11">
        <v>132</v>
      </c>
      <c r="Q41" s="11">
        <v>5710</v>
      </c>
      <c r="R41" s="11">
        <v>508</v>
      </c>
      <c r="S41" s="11"/>
      <c r="T41" s="11"/>
      <c r="U41" s="11">
        <v>283746.2016515946</v>
      </c>
      <c r="V41" s="11">
        <v>27</v>
      </c>
      <c r="W41" s="11">
        <v>793024</v>
      </c>
      <c r="X41" s="11">
        <v>106194</v>
      </c>
      <c r="Y41" s="11">
        <v>234</v>
      </c>
      <c r="Z41" s="11">
        <v>8007</v>
      </c>
      <c r="AA41" s="11"/>
      <c r="AB41" s="11">
        <v>22557</v>
      </c>
      <c r="AC41" s="11">
        <v>-1158</v>
      </c>
      <c r="AD41" s="11">
        <v>39595</v>
      </c>
      <c r="AE41" s="11"/>
      <c r="AF41" s="11">
        <v>37023</v>
      </c>
      <c r="AG41" s="11">
        <v>217435</v>
      </c>
      <c r="AH41" s="11">
        <v>1732</v>
      </c>
      <c r="AI41" s="11">
        <f t="shared" si="3"/>
        <v>2047934.2016515946</v>
      </c>
    </row>
    <row r="42" spans="1:35" x14ac:dyDescent="0.25">
      <c r="A42" s="19"/>
    </row>
    <row r="43" spans="1:35" x14ac:dyDescent="0.25">
      <c r="A43" s="36" t="s">
        <v>232</v>
      </c>
    </row>
    <row r="44" spans="1:35" x14ac:dyDescent="0.25">
      <c r="A44" s="4" t="s">
        <v>0</v>
      </c>
      <c r="B44" s="73" t="s">
        <v>1</v>
      </c>
      <c r="C44" s="73" t="s">
        <v>2</v>
      </c>
      <c r="D44" s="73" t="s">
        <v>3</v>
      </c>
      <c r="E44" s="73" t="s">
        <v>4</v>
      </c>
      <c r="F44" s="73" t="s">
        <v>5</v>
      </c>
      <c r="G44" s="73" t="s">
        <v>6</v>
      </c>
      <c r="H44" s="73" t="s">
        <v>7</v>
      </c>
      <c r="I44" s="73" t="s">
        <v>8</v>
      </c>
      <c r="J44" s="73" t="s">
        <v>9</v>
      </c>
      <c r="K44" s="73" t="s">
        <v>10</v>
      </c>
      <c r="L44" s="73" t="s">
        <v>11</v>
      </c>
      <c r="M44" s="73" t="s">
        <v>293</v>
      </c>
      <c r="N44" s="73" t="s">
        <v>12</v>
      </c>
      <c r="O44" s="73" t="s">
        <v>13</v>
      </c>
      <c r="P44" s="73" t="s">
        <v>14</v>
      </c>
      <c r="Q44" s="73" t="s">
        <v>15</v>
      </c>
      <c r="R44" s="73" t="s">
        <v>16</v>
      </c>
      <c r="S44" s="73" t="s">
        <v>295</v>
      </c>
      <c r="T44" s="73" t="s">
        <v>17</v>
      </c>
      <c r="U44" s="73" t="s">
        <v>18</v>
      </c>
      <c r="V44" s="73" t="s">
        <v>294</v>
      </c>
      <c r="W44" s="73" t="s">
        <v>19</v>
      </c>
      <c r="X44" s="73" t="s">
        <v>20</v>
      </c>
      <c r="Y44" s="73" t="s">
        <v>21</v>
      </c>
      <c r="Z44" s="73" t="s">
        <v>22</v>
      </c>
      <c r="AA44" s="73" t="s">
        <v>23</v>
      </c>
      <c r="AB44" s="73" t="s">
        <v>24</v>
      </c>
      <c r="AC44" s="73" t="s">
        <v>25</v>
      </c>
      <c r="AD44" s="73" t="s">
        <v>26</v>
      </c>
      <c r="AE44" s="73" t="s">
        <v>27</v>
      </c>
      <c r="AF44" s="73" t="s">
        <v>28</v>
      </c>
      <c r="AG44" s="72" t="s">
        <v>29</v>
      </c>
      <c r="AH44" s="94" t="s">
        <v>30</v>
      </c>
      <c r="AI44" s="69" t="s">
        <v>31</v>
      </c>
    </row>
    <row r="45" spans="1:35" x14ac:dyDescent="0.25">
      <c r="A45" s="29" t="s">
        <v>240</v>
      </c>
      <c r="B45" s="11">
        <v>25846</v>
      </c>
      <c r="C45" s="11">
        <v>357677</v>
      </c>
      <c r="D45" s="11"/>
      <c r="E45" s="11">
        <v>1712799</v>
      </c>
      <c r="F45" s="11">
        <v>251832</v>
      </c>
      <c r="G45" s="11">
        <v>194328</v>
      </c>
      <c r="H45" s="11">
        <v>77905</v>
      </c>
      <c r="I45" s="11"/>
      <c r="J45" s="11">
        <v>470762</v>
      </c>
      <c r="K45" s="11">
        <v>12853</v>
      </c>
      <c r="L45" s="11">
        <v>996038</v>
      </c>
      <c r="M45" s="11">
        <v>2517138</v>
      </c>
      <c r="N45" s="11">
        <v>2637657</v>
      </c>
      <c r="O45" s="11">
        <v>2603111</v>
      </c>
      <c r="P45" s="11">
        <v>38343</v>
      </c>
      <c r="Q45" s="11">
        <v>288259</v>
      </c>
      <c r="R45" s="11">
        <v>19081</v>
      </c>
      <c r="S45" s="11">
        <v>383806</v>
      </c>
      <c r="T45" s="11">
        <v>512377</v>
      </c>
      <c r="U45" s="11">
        <v>8052516.7410000004</v>
      </c>
      <c r="V45" s="11">
        <v>27486</v>
      </c>
      <c r="W45" s="11">
        <v>11869156</v>
      </c>
      <c r="X45" s="11">
        <v>6342344</v>
      </c>
      <c r="Y45" s="11"/>
      <c r="Z45" s="11">
        <v>1592604</v>
      </c>
      <c r="AA45" s="11">
        <v>984752</v>
      </c>
      <c r="AB45" s="11">
        <v>334916</v>
      </c>
      <c r="AC45" s="11">
        <v>826547</v>
      </c>
      <c r="AD45" s="11">
        <v>447</v>
      </c>
      <c r="AE45" s="11"/>
      <c r="AF45" s="11">
        <v>507109</v>
      </c>
      <c r="AG45" s="11">
        <v>7345159</v>
      </c>
      <c r="AH45" s="11">
        <v>181898</v>
      </c>
      <c r="AI45" s="11">
        <f t="shared" ref="AI45:AI51" si="4">SUM(B45:AH45)</f>
        <v>51164746.740999997</v>
      </c>
    </row>
    <row r="46" spans="1:35" x14ac:dyDescent="0.25">
      <c r="A46" s="29" t="s">
        <v>288</v>
      </c>
      <c r="B46" s="11"/>
      <c r="C46" s="11"/>
      <c r="D46" s="11"/>
      <c r="E46" s="11"/>
      <c r="F46" s="11"/>
      <c r="G46" s="11"/>
      <c r="H46" s="11">
        <v>19972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>
        <v>0</v>
      </c>
      <c r="V46" s="11"/>
      <c r="W46" s="11"/>
      <c r="X46" s="11">
        <v>102402</v>
      </c>
      <c r="Y46" s="11"/>
      <c r="Z46" s="11"/>
      <c r="AA46" s="11">
        <v>29118</v>
      </c>
      <c r="AB46" s="11"/>
      <c r="AC46" s="11"/>
      <c r="AD46" s="11"/>
      <c r="AE46" s="11"/>
      <c r="AF46" s="11"/>
      <c r="AG46" s="11">
        <v>0</v>
      </c>
      <c r="AH46" s="11"/>
      <c r="AI46" s="11">
        <f t="shared" si="4"/>
        <v>151492</v>
      </c>
    </row>
    <row r="47" spans="1:35" x14ac:dyDescent="0.25">
      <c r="A47" s="29" t="s">
        <v>289</v>
      </c>
      <c r="B47" s="11">
        <v>1292</v>
      </c>
      <c r="C47" s="11">
        <v>46526</v>
      </c>
      <c r="D47" s="11"/>
      <c r="E47" s="11">
        <v>298742</v>
      </c>
      <c r="F47" s="11">
        <v>13140</v>
      </c>
      <c r="G47" s="11">
        <v>34034</v>
      </c>
      <c r="H47" s="11">
        <v>-260416</v>
      </c>
      <c r="I47" s="11"/>
      <c r="J47" s="11">
        <v>147404</v>
      </c>
      <c r="K47" s="11">
        <v>1059</v>
      </c>
      <c r="L47" s="11"/>
      <c r="M47" s="11">
        <v>470933</v>
      </c>
      <c r="N47" s="11"/>
      <c r="O47" s="11">
        <v>803940</v>
      </c>
      <c r="P47" s="11">
        <v>1922</v>
      </c>
      <c r="Q47" s="11">
        <v>13170</v>
      </c>
      <c r="R47" s="11"/>
      <c r="S47" s="11">
        <v>19882</v>
      </c>
      <c r="T47" s="11">
        <v>252903</v>
      </c>
      <c r="U47" s="11">
        <v>3238595.0019999999</v>
      </c>
      <c r="V47" s="11"/>
      <c r="W47" s="11"/>
      <c r="X47" s="11">
        <v>343188</v>
      </c>
      <c r="Y47" s="11"/>
      <c r="Z47" s="11">
        <v>352622</v>
      </c>
      <c r="AA47" s="11">
        <v>228120</v>
      </c>
      <c r="AB47" s="11">
        <v>-58005</v>
      </c>
      <c r="AC47" s="11">
        <v>41327</v>
      </c>
      <c r="AD47" s="11">
        <v>358</v>
      </c>
      <c r="AE47" s="11"/>
      <c r="AF47" s="11">
        <v>40239</v>
      </c>
      <c r="AG47" s="11">
        <v>426846</v>
      </c>
      <c r="AH47" s="11">
        <v>9231</v>
      </c>
      <c r="AI47" s="11">
        <f t="shared" si="4"/>
        <v>6467052.0020000003</v>
      </c>
    </row>
    <row r="48" spans="1:35" x14ac:dyDescent="0.25">
      <c r="A48" s="29" t="s">
        <v>292</v>
      </c>
      <c r="B48" s="11">
        <v>24554</v>
      </c>
      <c r="C48" s="11">
        <v>311151</v>
      </c>
      <c r="D48" s="11"/>
      <c r="E48" s="11"/>
      <c r="F48" s="11">
        <v>238693</v>
      </c>
      <c r="G48" s="11"/>
      <c r="H48" s="11"/>
      <c r="I48" s="11"/>
      <c r="J48" s="11">
        <v>323358</v>
      </c>
      <c r="K48" s="11">
        <v>11794</v>
      </c>
      <c r="L48" s="11"/>
      <c r="M48" s="11"/>
      <c r="N48" s="11"/>
      <c r="O48" s="11"/>
      <c r="P48" s="11"/>
      <c r="Q48" s="11"/>
      <c r="R48" s="11"/>
      <c r="S48" s="11"/>
      <c r="T48" s="11"/>
      <c r="U48" s="11">
        <v>4813921.7390000001</v>
      </c>
      <c r="V48" s="11"/>
      <c r="W48" s="11"/>
      <c r="X48" s="11"/>
      <c r="Y48" s="11"/>
      <c r="Z48" s="11">
        <v>1239982</v>
      </c>
      <c r="AA48" s="11"/>
      <c r="AB48" s="11"/>
      <c r="AC48" s="11"/>
      <c r="AD48" s="11">
        <v>89</v>
      </c>
      <c r="AE48" s="11"/>
      <c r="AF48" s="11"/>
      <c r="AG48" s="11"/>
      <c r="AH48" s="11"/>
      <c r="AI48" s="11">
        <f t="shared" si="4"/>
        <v>6963542.7390000001</v>
      </c>
    </row>
    <row r="49" spans="1:35" x14ac:dyDescent="0.25">
      <c r="A49" s="29" t="s">
        <v>291</v>
      </c>
      <c r="B49" s="11">
        <v>84723</v>
      </c>
      <c r="C49" s="11">
        <v>955728</v>
      </c>
      <c r="D49" s="11"/>
      <c r="E49" s="11">
        <v>3590787</v>
      </c>
      <c r="F49" s="11">
        <v>940967</v>
      </c>
      <c r="G49" s="11">
        <v>394716</v>
      </c>
      <c r="H49" s="11">
        <v>94987</v>
      </c>
      <c r="I49" s="11"/>
      <c r="J49" s="11">
        <v>498779</v>
      </c>
      <c r="K49" s="11">
        <v>141072</v>
      </c>
      <c r="L49" s="11">
        <v>3191789</v>
      </c>
      <c r="M49" s="11">
        <v>2794724</v>
      </c>
      <c r="N49" s="11">
        <v>8797482</v>
      </c>
      <c r="O49" s="11">
        <v>1893993</v>
      </c>
      <c r="P49" s="11">
        <v>156726</v>
      </c>
      <c r="Q49" s="11">
        <v>408485</v>
      </c>
      <c r="R49" s="11">
        <v>121191</v>
      </c>
      <c r="S49" s="11">
        <v>669403</v>
      </c>
      <c r="T49" s="11">
        <v>1984755</v>
      </c>
      <c r="U49" s="11">
        <v>7070660.5644112285</v>
      </c>
      <c r="V49" s="11">
        <v>108642</v>
      </c>
      <c r="W49" s="11">
        <v>13223667</v>
      </c>
      <c r="X49" s="11">
        <v>9255620</v>
      </c>
      <c r="Y49" s="11">
        <v>3761</v>
      </c>
      <c r="Z49" s="11">
        <v>3803676</v>
      </c>
      <c r="AA49" s="11">
        <v>3161600</v>
      </c>
      <c r="AB49" s="11">
        <v>884920</v>
      </c>
      <c r="AC49" s="11">
        <v>2176607</v>
      </c>
      <c r="AD49" s="11">
        <v>6297</v>
      </c>
      <c r="AE49" s="11"/>
      <c r="AF49" s="11">
        <v>2265658</v>
      </c>
      <c r="AG49" s="11">
        <v>11925192</v>
      </c>
      <c r="AH49" s="11">
        <v>316339</v>
      </c>
      <c r="AI49" s="11">
        <f t="shared" si="4"/>
        <v>80922946.564411223</v>
      </c>
    </row>
    <row r="50" spans="1:35" x14ac:dyDescent="0.25">
      <c r="A50" s="29" t="s">
        <v>290</v>
      </c>
      <c r="B50" s="11">
        <v>40600</v>
      </c>
      <c r="C50" s="11">
        <v>611575</v>
      </c>
      <c r="D50" s="11"/>
      <c r="E50" s="11">
        <v>2567306</v>
      </c>
      <c r="F50" s="11">
        <v>799396</v>
      </c>
      <c r="G50" s="11">
        <v>329385</v>
      </c>
      <c r="H50" s="11">
        <v>280485</v>
      </c>
      <c r="I50" s="11"/>
      <c r="J50" s="11">
        <v>360641</v>
      </c>
      <c r="K50" s="11">
        <v>47630</v>
      </c>
      <c r="L50" s="11">
        <v>-2142698</v>
      </c>
      <c r="M50" s="11">
        <v>2580886</v>
      </c>
      <c r="N50" s="11">
        <v>6697430</v>
      </c>
      <c r="O50" s="11">
        <v>1494294</v>
      </c>
      <c r="P50" s="11">
        <v>97081</v>
      </c>
      <c r="Q50" s="11">
        <v>419436</v>
      </c>
      <c r="R50" s="11">
        <v>-93693</v>
      </c>
      <c r="S50" s="11">
        <v>610988</v>
      </c>
      <c r="T50" s="11">
        <v>1165551</v>
      </c>
      <c r="U50" s="11">
        <v>7184477.1076505007</v>
      </c>
      <c r="V50" s="11">
        <v>-111757</v>
      </c>
      <c r="W50" s="11">
        <v>12506115</v>
      </c>
      <c r="X50" s="11">
        <v>8335434</v>
      </c>
      <c r="Y50" s="11">
        <v>2252</v>
      </c>
      <c r="Z50" s="11">
        <v>3996089</v>
      </c>
      <c r="AA50" s="11">
        <v>2271801</v>
      </c>
      <c r="AB50" s="11">
        <v>-707955</v>
      </c>
      <c r="AC50" s="11">
        <v>1910054</v>
      </c>
      <c r="AD50" s="11">
        <v>6893</v>
      </c>
      <c r="AE50" s="11"/>
      <c r="AF50" s="11">
        <v>1787525</v>
      </c>
      <c r="AG50" s="11">
        <v>10226101</v>
      </c>
      <c r="AH50" s="11">
        <v>183704</v>
      </c>
      <c r="AI50" s="11">
        <f t="shared" si="4"/>
        <v>63457026.107650504</v>
      </c>
    </row>
    <row r="51" spans="1:35" x14ac:dyDescent="0.25">
      <c r="A51" s="29" t="s">
        <v>285</v>
      </c>
      <c r="B51" s="11">
        <v>68677</v>
      </c>
      <c r="C51" s="11">
        <v>655304</v>
      </c>
      <c r="D51" s="11"/>
      <c r="E51" s="11">
        <v>2437538</v>
      </c>
      <c r="F51" s="11">
        <v>380265</v>
      </c>
      <c r="G51" s="11">
        <v>225625</v>
      </c>
      <c r="H51" s="11">
        <v>172795</v>
      </c>
      <c r="I51" s="11"/>
      <c r="J51" s="11">
        <v>461495</v>
      </c>
      <c r="K51" s="11">
        <v>105236</v>
      </c>
      <c r="L51" s="11">
        <v>1471574</v>
      </c>
      <c r="M51" s="11">
        <v>2260043</v>
      </c>
      <c r="N51" s="11">
        <v>4035997</v>
      </c>
      <c r="O51" s="11">
        <v>2198870</v>
      </c>
      <c r="P51" s="11">
        <v>96066</v>
      </c>
      <c r="Q51" s="11">
        <v>270043</v>
      </c>
      <c r="R51" s="11">
        <v>40493</v>
      </c>
      <c r="S51" s="11">
        <v>422339</v>
      </c>
      <c r="T51" s="11">
        <v>1078678</v>
      </c>
      <c r="U51" s="11">
        <v>4700105.1957607279</v>
      </c>
      <c r="V51" s="11">
        <v>14984</v>
      </c>
      <c r="W51" s="11">
        <v>11974996</v>
      </c>
      <c r="X51" s="11">
        <v>7021744</v>
      </c>
      <c r="Y51" s="11">
        <v>1509</v>
      </c>
      <c r="Z51" s="11">
        <v>1047569</v>
      </c>
      <c r="AA51" s="11">
        <v>1675549</v>
      </c>
      <c r="AB51" s="11">
        <v>413127</v>
      </c>
      <c r="AC51" s="11">
        <v>1051773</v>
      </c>
      <c r="AD51" s="11">
        <v>-506</v>
      </c>
      <c r="AE51" s="11"/>
      <c r="AF51" s="11">
        <v>945003</v>
      </c>
      <c r="AG51" s="11">
        <v>8617404</v>
      </c>
      <c r="AH51" s="11">
        <v>305302</v>
      </c>
      <c r="AI51" s="11">
        <f t="shared" si="4"/>
        <v>54149597.195760727</v>
      </c>
    </row>
    <row r="52" spans="1:35" x14ac:dyDescent="0.25">
      <c r="A52" s="19"/>
    </row>
    <row r="53" spans="1:35" x14ac:dyDescent="0.25">
      <c r="A53" s="36" t="s">
        <v>233</v>
      </c>
    </row>
    <row r="54" spans="1:35" x14ac:dyDescent="0.25">
      <c r="A54" s="4" t="s">
        <v>0</v>
      </c>
      <c r="B54" s="73" t="s">
        <v>1</v>
      </c>
      <c r="C54" s="73" t="s">
        <v>2</v>
      </c>
      <c r="D54" s="73" t="s">
        <v>3</v>
      </c>
      <c r="E54" s="73" t="s">
        <v>4</v>
      </c>
      <c r="F54" s="73" t="s">
        <v>5</v>
      </c>
      <c r="G54" s="73" t="s">
        <v>6</v>
      </c>
      <c r="H54" s="73" t="s">
        <v>7</v>
      </c>
      <c r="I54" s="73" t="s">
        <v>8</v>
      </c>
      <c r="J54" s="73" t="s">
        <v>9</v>
      </c>
      <c r="K54" s="73" t="s">
        <v>10</v>
      </c>
      <c r="L54" s="73" t="s">
        <v>11</v>
      </c>
      <c r="M54" s="73" t="s">
        <v>293</v>
      </c>
      <c r="N54" s="73" t="s">
        <v>12</v>
      </c>
      <c r="O54" s="73" t="s">
        <v>13</v>
      </c>
      <c r="P54" s="73" t="s">
        <v>14</v>
      </c>
      <c r="Q54" s="73" t="s">
        <v>15</v>
      </c>
      <c r="R54" s="73" t="s">
        <v>16</v>
      </c>
      <c r="S54" s="73" t="s">
        <v>295</v>
      </c>
      <c r="T54" s="73" t="s">
        <v>17</v>
      </c>
      <c r="U54" s="73" t="s">
        <v>18</v>
      </c>
      <c r="V54" s="73" t="s">
        <v>294</v>
      </c>
      <c r="W54" s="73" t="s">
        <v>19</v>
      </c>
      <c r="X54" s="73" t="s">
        <v>20</v>
      </c>
      <c r="Y54" s="73" t="s">
        <v>21</v>
      </c>
      <c r="Z54" s="73" t="s">
        <v>22</v>
      </c>
      <c r="AA54" s="73" t="s">
        <v>23</v>
      </c>
      <c r="AB54" s="73" t="s">
        <v>24</v>
      </c>
      <c r="AC54" s="73" t="s">
        <v>25</v>
      </c>
      <c r="AD54" s="73" t="s">
        <v>26</v>
      </c>
      <c r="AE54" s="73" t="s">
        <v>27</v>
      </c>
      <c r="AF54" s="73" t="s">
        <v>28</v>
      </c>
      <c r="AG54" s="72" t="s">
        <v>29</v>
      </c>
      <c r="AH54" s="94" t="s">
        <v>30</v>
      </c>
      <c r="AI54" s="69" t="s">
        <v>31</v>
      </c>
    </row>
    <row r="55" spans="1:35" x14ac:dyDescent="0.25">
      <c r="A55" s="29" t="s">
        <v>240</v>
      </c>
      <c r="B55" s="11">
        <v>581</v>
      </c>
      <c r="C55" s="11">
        <v>4647</v>
      </c>
      <c r="D55" s="11"/>
      <c r="E55" s="11">
        <v>94666</v>
      </c>
      <c r="F55" s="11">
        <v>10859</v>
      </c>
      <c r="G55" s="11">
        <v>44872</v>
      </c>
      <c r="H55" s="11">
        <v>181</v>
      </c>
      <c r="I55" s="11"/>
      <c r="J55" s="11">
        <v>14673</v>
      </c>
      <c r="K55" s="11">
        <v>-3294</v>
      </c>
      <c r="L55" s="11">
        <v>175161</v>
      </c>
      <c r="M55" s="11">
        <v>12061</v>
      </c>
      <c r="N55" s="11">
        <v>167465</v>
      </c>
      <c r="O55" s="11">
        <v>65211</v>
      </c>
      <c r="P55" s="11">
        <v>5545</v>
      </c>
      <c r="Q55" s="11">
        <v>16720</v>
      </c>
      <c r="R55" s="11">
        <v>1030</v>
      </c>
      <c r="S55" s="11">
        <v>4940</v>
      </c>
      <c r="T55" s="11">
        <v>5624</v>
      </c>
      <c r="U55" s="11">
        <v>234775.70300000001</v>
      </c>
      <c r="V55" s="11">
        <v>3823</v>
      </c>
      <c r="W55" s="11">
        <v>438308</v>
      </c>
      <c r="X55" s="11">
        <v>394400</v>
      </c>
      <c r="Y55" s="11"/>
      <c r="Z55" s="11">
        <v>14615</v>
      </c>
      <c r="AA55" s="11">
        <v>53067</v>
      </c>
      <c r="AB55" s="11">
        <v>19981</v>
      </c>
      <c r="AC55" s="11">
        <v>860817</v>
      </c>
      <c r="AD55" s="11">
        <v>60711</v>
      </c>
      <c r="AE55" s="11"/>
      <c r="AF55" s="11">
        <v>62155</v>
      </c>
      <c r="AG55" s="11">
        <v>752134</v>
      </c>
      <c r="AH55" s="11">
        <v>29559</v>
      </c>
      <c r="AI55" s="11">
        <f t="shared" ref="AI55:AI61" si="5">SUM(B55:AH55)</f>
        <v>3545287.7029999997</v>
      </c>
    </row>
    <row r="56" spans="1:35" x14ac:dyDescent="0.25">
      <c r="A56" s="29" t="s">
        <v>288</v>
      </c>
      <c r="B56" s="11"/>
      <c r="C56" s="11"/>
      <c r="D56" s="11"/>
      <c r="E56" s="11">
        <v>3489</v>
      </c>
      <c r="F56" s="11"/>
      <c r="G56" s="11"/>
      <c r="H56" s="11"/>
      <c r="I56" s="11"/>
      <c r="J56" s="11"/>
      <c r="K56" s="11"/>
      <c r="L56" s="11"/>
      <c r="M56" s="11"/>
      <c r="N56" s="11"/>
      <c r="O56" s="11">
        <v>5988</v>
      </c>
      <c r="P56" s="11"/>
      <c r="Q56" s="11"/>
      <c r="R56" s="11"/>
      <c r="S56" s="11"/>
      <c r="T56" s="11"/>
      <c r="U56" s="11">
        <v>0</v>
      </c>
      <c r="V56" s="11"/>
      <c r="W56" s="11"/>
      <c r="X56" s="11">
        <v>119</v>
      </c>
      <c r="Y56" s="11"/>
      <c r="Z56" s="11"/>
      <c r="AA56" s="11"/>
      <c r="AB56" s="11">
        <v>1077</v>
      </c>
      <c r="AC56" s="11"/>
      <c r="AD56" s="11"/>
      <c r="AE56" s="11"/>
      <c r="AF56" s="11"/>
      <c r="AG56" s="11">
        <v>681</v>
      </c>
      <c r="AH56" s="11"/>
      <c r="AI56" s="11">
        <f t="shared" si="5"/>
        <v>11354</v>
      </c>
    </row>
    <row r="57" spans="1:35" x14ac:dyDescent="0.25">
      <c r="A57" s="29" t="s">
        <v>289</v>
      </c>
      <c r="B57" s="11">
        <v>29</v>
      </c>
      <c r="C57" s="11">
        <v>232</v>
      </c>
      <c r="D57" s="11"/>
      <c r="E57" s="11">
        <v>10269</v>
      </c>
      <c r="F57" s="11">
        <v>516</v>
      </c>
      <c r="G57" s="11">
        <v>8761</v>
      </c>
      <c r="H57" s="11">
        <v>-23126</v>
      </c>
      <c r="I57" s="11"/>
      <c r="J57" s="11">
        <v>1822</v>
      </c>
      <c r="K57" s="11">
        <v>-165</v>
      </c>
      <c r="L57" s="11"/>
      <c r="M57" s="11">
        <v>604</v>
      </c>
      <c r="N57" s="11"/>
      <c r="O57" s="11">
        <v>6360</v>
      </c>
      <c r="P57" s="11">
        <v>3566</v>
      </c>
      <c r="Q57" s="11">
        <v>836</v>
      </c>
      <c r="R57" s="11"/>
      <c r="S57" s="11">
        <v>262</v>
      </c>
      <c r="T57" s="11">
        <v>1107</v>
      </c>
      <c r="U57" s="11">
        <v>8730.3150000000005</v>
      </c>
      <c r="V57" s="11"/>
      <c r="W57" s="11"/>
      <c r="X57" s="11">
        <v>40126</v>
      </c>
      <c r="Y57" s="11"/>
      <c r="Z57" s="11">
        <v>2747</v>
      </c>
      <c r="AA57" s="11">
        <v>8166</v>
      </c>
      <c r="AB57" s="11">
        <v>-1102</v>
      </c>
      <c r="AC57" s="11">
        <v>43287</v>
      </c>
      <c r="AD57" s="11">
        <v>56122</v>
      </c>
      <c r="AE57" s="11"/>
      <c r="AF57" s="11">
        <v>3307</v>
      </c>
      <c r="AG57" s="11">
        <v>943859</v>
      </c>
      <c r="AH57" s="11">
        <v>4036</v>
      </c>
      <c r="AI57" s="11">
        <f t="shared" si="5"/>
        <v>1120351.3149999999</v>
      </c>
    </row>
    <row r="58" spans="1:35" x14ac:dyDescent="0.25">
      <c r="A58" s="29" t="s">
        <v>292</v>
      </c>
      <c r="B58" s="11">
        <v>552</v>
      </c>
      <c r="C58" s="11">
        <v>4415</v>
      </c>
      <c r="D58" s="11"/>
      <c r="E58" s="11"/>
      <c r="F58" s="11">
        <v>10344</v>
      </c>
      <c r="G58" s="11"/>
      <c r="H58" s="11"/>
      <c r="I58" s="11"/>
      <c r="J58" s="11">
        <v>12851</v>
      </c>
      <c r="K58" s="11">
        <v>-3129</v>
      </c>
      <c r="L58" s="11"/>
      <c r="M58" s="11"/>
      <c r="N58" s="11"/>
      <c r="O58" s="11"/>
      <c r="P58" s="11"/>
      <c r="Q58" s="11"/>
      <c r="R58" s="11"/>
      <c r="S58" s="11"/>
      <c r="T58" s="11"/>
      <c r="U58" s="11">
        <v>226045.38800000001</v>
      </c>
      <c r="V58" s="11"/>
      <c r="W58" s="11"/>
      <c r="X58" s="11"/>
      <c r="Y58" s="11"/>
      <c r="Z58" s="11">
        <v>11868</v>
      </c>
      <c r="AA58" s="11"/>
      <c r="AB58" s="11"/>
      <c r="AC58" s="11"/>
      <c r="AD58" s="11">
        <v>4588</v>
      </c>
      <c r="AE58" s="11"/>
      <c r="AF58" s="11"/>
      <c r="AG58" s="11"/>
      <c r="AH58" s="11"/>
      <c r="AI58" s="11">
        <f t="shared" si="5"/>
        <v>267534.38800000004</v>
      </c>
    </row>
    <row r="59" spans="1:35" x14ac:dyDescent="0.25">
      <c r="A59" s="29" t="s">
        <v>291</v>
      </c>
      <c r="B59" s="11">
        <v>4964</v>
      </c>
      <c r="C59" s="11">
        <v>255711</v>
      </c>
      <c r="D59" s="11"/>
      <c r="E59" s="11">
        <v>1351361</v>
      </c>
      <c r="F59" s="11">
        <v>198078</v>
      </c>
      <c r="G59" s="11">
        <v>398313</v>
      </c>
      <c r="H59" s="11">
        <v>5718</v>
      </c>
      <c r="I59" s="11"/>
      <c r="J59" s="11">
        <v>297185</v>
      </c>
      <c r="K59" s="11">
        <v>38868</v>
      </c>
      <c r="L59" s="11">
        <v>2091247</v>
      </c>
      <c r="M59" s="11">
        <v>205525</v>
      </c>
      <c r="N59" s="11">
        <v>4239211</v>
      </c>
      <c r="O59" s="11">
        <v>332974</v>
      </c>
      <c r="P59" s="11">
        <v>27815</v>
      </c>
      <c r="Q59" s="11">
        <v>147241</v>
      </c>
      <c r="R59" s="11">
        <v>34695</v>
      </c>
      <c r="S59" s="11">
        <v>61539</v>
      </c>
      <c r="T59" s="11">
        <v>103464</v>
      </c>
      <c r="U59" s="11">
        <v>2029219.8217321858</v>
      </c>
      <c r="V59" s="11">
        <v>38138</v>
      </c>
      <c r="W59" s="11">
        <v>4680930</v>
      </c>
      <c r="X59" s="11">
        <v>2739247</v>
      </c>
      <c r="Y59" s="11">
        <v>1441</v>
      </c>
      <c r="Z59" s="11">
        <v>383813</v>
      </c>
      <c r="AA59" s="11">
        <v>363446</v>
      </c>
      <c r="AB59" s="11">
        <v>296854</v>
      </c>
      <c r="AC59" s="11">
        <v>3702937</v>
      </c>
      <c r="AD59" s="11">
        <v>63361</v>
      </c>
      <c r="AE59" s="11"/>
      <c r="AF59" s="11">
        <v>869190</v>
      </c>
      <c r="AG59" s="11">
        <v>6459535</v>
      </c>
      <c r="AH59" s="11">
        <v>677695</v>
      </c>
      <c r="AI59" s="11">
        <f t="shared" si="5"/>
        <v>32099715.821732186</v>
      </c>
    </row>
    <row r="60" spans="1:35" x14ac:dyDescent="0.25">
      <c r="A60" s="29" t="s">
        <v>290</v>
      </c>
      <c r="B60" s="11">
        <v>1135</v>
      </c>
      <c r="C60" s="11">
        <v>187691</v>
      </c>
      <c r="D60" s="11"/>
      <c r="E60" s="11">
        <v>1154558</v>
      </c>
      <c r="F60" s="11">
        <v>164894</v>
      </c>
      <c r="G60" s="11">
        <v>370345</v>
      </c>
      <c r="H60" s="11">
        <v>26008</v>
      </c>
      <c r="I60" s="11"/>
      <c r="J60" s="11">
        <v>261014</v>
      </c>
      <c r="K60" s="11">
        <v>20219</v>
      </c>
      <c r="L60" s="11">
        <v>-1496375</v>
      </c>
      <c r="M60" s="11">
        <v>151921</v>
      </c>
      <c r="N60" s="11">
        <v>3904868</v>
      </c>
      <c r="O60" s="11">
        <v>355544</v>
      </c>
      <c r="P60" s="11">
        <v>24941</v>
      </c>
      <c r="Q60" s="11">
        <v>130540</v>
      </c>
      <c r="R60" s="11">
        <v>-31638</v>
      </c>
      <c r="S60" s="11">
        <v>64396</v>
      </c>
      <c r="T60" s="11">
        <v>86814</v>
      </c>
      <c r="U60" s="11">
        <v>1950662.348</v>
      </c>
      <c r="V60" s="11">
        <v>-33767</v>
      </c>
      <c r="W60" s="11">
        <v>3816759</v>
      </c>
      <c r="X60" s="11">
        <v>2691729</v>
      </c>
      <c r="Y60" s="11">
        <v>1335</v>
      </c>
      <c r="Z60" s="11">
        <v>365948</v>
      </c>
      <c r="AA60" s="11">
        <v>353720</v>
      </c>
      <c r="AB60" s="11">
        <v>-265480</v>
      </c>
      <c r="AC60" s="11">
        <v>3815068</v>
      </c>
      <c r="AD60" s="11">
        <v>68005</v>
      </c>
      <c r="AE60" s="11"/>
      <c r="AF60" s="11">
        <v>768655</v>
      </c>
      <c r="AG60" s="11">
        <v>5938064</v>
      </c>
      <c r="AH60" s="11">
        <v>476279</v>
      </c>
      <c r="AI60" s="11">
        <f t="shared" si="5"/>
        <v>25323852.348000001</v>
      </c>
    </row>
    <row r="61" spans="1:35" x14ac:dyDescent="0.25">
      <c r="A61" s="29" t="s">
        <v>285</v>
      </c>
      <c r="B61" s="11">
        <v>4381</v>
      </c>
      <c r="C61" s="11">
        <v>72435</v>
      </c>
      <c r="D61" s="11"/>
      <c r="E61" s="11">
        <v>284689</v>
      </c>
      <c r="F61" s="11">
        <v>43527</v>
      </c>
      <c r="G61" s="11">
        <v>64079</v>
      </c>
      <c r="H61" s="11">
        <v>3017</v>
      </c>
      <c r="I61" s="11"/>
      <c r="J61" s="11">
        <v>49023</v>
      </c>
      <c r="K61" s="11">
        <v>15520</v>
      </c>
      <c r="L61" s="11">
        <v>451962</v>
      </c>
      <c r="M61" s="11">
        <v>65061</v>
      </c>
      <c r="N61" s="11">
        <v>405317</v>
      </c>
      <c r="O61" s="11">
        <v>42269</v>
      </c>
      <c r="P61" s="11">
        <v>4853</v>
      </c>
      <c r="Q61" s="11">
        <v>31750</v>
      </c>
      <c r="R61" s="11">
        <v>5567</v>
      </c>
      <c r="S61" s="11">
        <v>1821</v>
      </c>
      <c r="T61" s="11">
        <v>21167</v>
      </c>
      <c r="U61" s="11">
        <v>304602.86173218559</v>
      </c>
      <c r="V61" s="11">
        <v>4548</v>
      </c>
      <c r="W61" s="11">
        <v>1265062</v>
      </c>
      <c r="X61" s="11">
        <v>401911</v>
      </c>
      <c r="Y61" s="11">
        <v>106</v>
      </c>
      <c r="Z61" s="11">
        <v>29733</v>
      </c>
      <c r="AA61" s="11">
        <v>54627</v>
      </c>
      <c r="AB61" s="11">
        <v>50601</v>
      </c>
      <c r="AC61" s="11">
        <v>705399</v>
      </c>
      <c r="AD61" s="11">
        <v>-55</v>
      </c>
      <c r="AE61" s="11"/>
      <c r="AF61" s="11">
        <v>159383</v>
      </c>
      <c r="AG61" s="11">
        <v>330427</v>
      </c>
      <c r="AH61" s="11">
        <v>226939</v>
      </c>
      <c r="AI61" s="11">
        <f t="shared" si="5"/>
        <v>5099721.8617321858</v>
      </c>
    </row>
    <row r="62" spans="1:35" x14ac:dyDescent="0.25">
      <c r="A62" s="19"/>
    </row>
    <row r="63" spans="1:35" x14ac:dyDescent="0.25">
      <c r="A63" s="36" t="s">
        <v>234</v>
      </c>
    </row>
    <row r="64" spans="1:35" x14ac:dyDescent="0.25">
      <c r="A64" s="4" t="s">
        <v>0</v>
      </c>
      <c r="B64" s="73" t="s">
        <v>1</v>
      </c>
      <c r="C64" s="73" t="s">
        <v>2</v>
      </c>
      <c r="D64" s="73" t="s">
        <v>3</v>
      </c>
      <c r="E64" s="73" t="s">
        <v>4</v>
      </c>
      <c r="F64" s="73" t="s">
        <v>5</v>
      </c>
      <c r="G64" s="73" t="s">
        <v>6</v>
      </c>
      <c r="H64" s="73" t="s">
        <v>7</v>
      </c>
      <c r="I64" s="73" t="s">
        <v>8</v>
      </c>
      <c r="J64" s="73" t="s">
        <v>9</v>
      </c>
      <c r="K64" s="73" t="s">
        <v>10</v>
      </c>
      <c r="L64" s="73" t="s">
        <v>11</v>
      </c>
      <c r="M64" s="73" t="s">
        <v>293</v>
      </c>
      <c r="N64" s="73" t="s">
        <v>12</v>
      </c>
      <c r="O64" s="73" t="s">
        <v>13</v>
      </c>
      <c r="P64" s="73" t="s">
        <v>14</v>
      </c>
      <c r="Q64" s="73" t="s">
        <v>15</v>
      </c>
      <c r="R64" s="73" t="s">
        <v>16</v>
      </c>
      <c r="S64" s="73" t="s">
        <v>295</v>
      </c>
      <c r="T64" s="73" t="s">
        <v>17</v>
      </c>
      <c r="U64" s="73" t="s">
        <v>18</v>
      </c>
      <c r="V64" s="73" t="s">
        <v>294</v>
      </c>
      <c r="W64" s="73" t="s">
        <v>19</v>
      </c>
      <c r="X64" s="73" t="s">
        <v>20</v>
      </c>
      <c r="Y64" s="73" t="s">
        <v>21</v>
      </c>
      <c r="Z64" s="73" t="s">
        <v>22</v>
      </c>
      <c r="AA64" s="73" t="s">
        <v>23</v>
      </c>
      <c r="AB64" s="73" t="s">
        <v>24</v>
      </c>
      <c r="AC64" s="73" t="s">
        <v>25</v>
      </c>
      <c r="AD64" s="73" t="s">
        <v>26</v>
      </c>
      <c r="AE64" s="73" t="s">
        <v>27</v>
      </c>
      <c r="AF64" s="73" t="s">
        <v>28</v>
      </c>
      <c r="AG64" s="72" t="s">
        <v>29</v>
      </c>
      <c r="AH64" s="94" t="s">
        <v>30</v>
      </c>
      <c r="AI64" s="69" t="s">
        <v>31</v>
      </c>
    </row>
    <row r="65" spans="1:35" x14ac:dyDescent="0.25">
      <c r="A65" s="29" t="s">
        <v>240</v>
      </c>
      <c r="B65" s="11">
        <v>49791</v>
      </c>
      <c r="C65" s="11"/>
      <c r="D65" s="11"/>
      <c r="E65" s="11">
        <v>52947</v>
      </c>
      <c r="F65" s="11">
        <v>248</v>
      </c>
      <c r="G65" s="11">
        <v>1053</v>
      </c>
      <c r="H65" s="11"/>
      <c r="I65" s="11"/>
      <c r="J65" s="11">
        <v>333</v>
      </c>
      <c r="K65" s="11"/>
      <c r="L65" s="11">
        <v>3</v>
      </c>
      <c r="M65" s="11"/>
      <c r="N65" s="11">
        <v>14271</v>
      </c>
      <c r="O65" s="11">
        <v>1253</v>
      </c>
      <c r="P65" s="11"/>
      <c r="Q65" s="11">
        <v>229</v>
      </c>
      <c r="R65" s="11"/>
      <c r="S65" s="11"/>
      <c r="T65" s="11"/>
      <c r="U65" s="11">
        <v>5906.8370000000004</v>
      </c>
      <c r="V65" s="11"/>
      <c r="W65" s="11">
        <v>393041</v>
      </c>
      <c r="X65" s="11">
        <v>4043</v>
      </c>
      <c r="Y65" s="11">
        <v>2001</v>
      </c>
      <c r="Z65" s="11">
        <v>3</v>
      </c>
      <c r="AA65" s="11"/>
      <c r="AB65" s="11"/>
      <c r="AC65" s="11">
        <v>4144</v>
      </c>
      <c r="AD65" s="11"/>
      <c r="AE65" s="11"/>
      <c r="AF65" s="11">
        <v>740264</v>
      </c>
      <c r="AG65" s="11">
        <v>13581</v>
      </c>
      <c r="AH65" s="11"/>
      <c r="AI65" s="11">
        <f t="shared" ref="AI65:AI71" si="6">SUM(B65:AH65)</f>
        <v>1283111.8370000001</v>
      </c>
    </row>
    <row r="66" spans="1:35" x14ac:dyDescent="0.25">
      <c r="A66" s="29" t="s">
        <v>288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>
        <v>0</v>
      </c>
      <c r="V66" s="11"/>
      <c r="W66" s="11"/>
      <c r="X66" s="11">
        <v>1</v>
      </c>
      <c r="Y66" s="11">
        <v>103</v>
      </c>
      <c r="Z66" s="11"/>
      <c r="AA66" s="11"/>
      <c r="AB66" s="11"/>
      <c r="AC66" s="11">
        <v>2066</v>
      </c>
      <c r="AD66" s="11"/>
      <c r="AE66" s="11"/>
      <c r="AF66" s="11">
        <v>140125</v>
      </c>
      <c r="AG66" s="11">
        <v>61562</v>
      </c>
      <c r="AH66" s="11"/>
      <c r="AI66" s="11">
        <f t="shared" si="6"/>
        <v>203857</v>
      </c>
    </row>
    <row r="67" spans="1:35" x14ac:dyDescent="0.25">
      <c r="A67" s="29" t="s">
        <v>289</v>
      </c>
      <c r="B67" s="11">
        <v>32364</v>
      </c>
      <c r="C67" s="11"/>
      <c r="D67" s="11"/>
      <c r="E67" s="11">
        <v>52396</v>
      </c>
      <c r="F67" s="11">
        <v>150</v>
      </c>
      <c r="G67" s="11">
        <v>895</v>
      </c>
      <c r="H67" s="11">
        <v>-992</v>
      </c>
      <c r="I67" s="11"/>
      <c r="J67" s="11">
        <v>138</v>
      </c>
      <c r="K67" s="11"/>
      <c r="L67" s="11"/>
      <c r="M67" s="11"/>
      <c r="N67" s="11"/>
      <c r="O67" s="11">
        <v>131</v>
      </c>
      <c r="P67" s="11"/>
      <c r="Q67" s="11">
        <v>11</v>
      </c>
      <c r="R67" s="11"/>
      <c r="S67" s="11"/>
      <c r="T67" s="11"/>
      <c r="U67" s="11">
        <v>295.34184999999997</v>
      </c>
      <c r="V67" s="11"/>
      <c r="W67" s="11"/>
      <c r="X67" s="11">
        <v>9871</v>
      </c>
      <c r="Y67" s="11">
        <v>109</v>
      </c>
      <c r="Z67" s="11"/>
      <c r="AA67" s="11"/>
      <c r="AB67" s="11"/>
      <c r="AC67" s="11">
        <v>5117</v>
      </c>
      <c r="AD67" s="11"/>
      <c r="AE67" s="11"/>
      <c r="AF67" s="11">
        <v>662039</v>
      </c>
      <c r="AG67" s="11">
        <v>9891</v>
      </c>
      <c r="AH67" s="11"/>
      <c r="AI67" s="11">
        <f t="shared" si="6"/>
        <v>772415.34184999997</v>
      </c>
    </row>
    <row r="68" spans="1:35" x14ac:dyDescent="0.25">
      <c r="A68" s="29" t="s">
        <v>292</v>
      </c>
      <c r="B68" s="11">
        <v>17427</v>
      </c>
      <c r="C68" s="11"/>
      <c r="D68" s="11"/>
      <c r="E68" s="11"/>
      <c r="F68" s="11">
        <v>98</v>
      </c>
      <c r="G68" s="11"/>
      <c r="H68" s="11"/>
      <c r="I68" s="11"/>
      <c r="J68" s="11">
        <v>196</v>
      </c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>
        <v>5611.4951500000006</v>
      </c>
      <c r="V68" s="11"/>
      <c r="W68" s="11"/>
      <c r="X68" s="11"/>
      <c r="Y68" s="11"/>
      <c r="Z68" s="11">
        <v>3</v>
      </c>
      <c r="AA68" s="11"/>
      <c r="AB68" s="11"/>
      <c r="AC68" s="11"/>
      <c r="AD68" s="11"/>
      <c r="AE68" s="11"/>
      <c r="AF68" s="11"/>
      <c r="AG68" s="11"/>
      <c r="AH68" s="11"/>
      <c r="AI68" s="11">
        <f t="shared" si="6"/>
        <v>23335.495150000002</v>
      </c>
    </row>
    <row r="69" spans="1:35" x14ac:dyDescent="0.25">
      <c r="A69" s="29" t="s">
        <v>291</v>
      </c>
      <c r="B69" s="11">
        <v>29253</v>
      </c>
      <c r="C69" s="11"/>
      <c r="D69" s="11"/>
      <c r="E69" s="11">
        <v>98791</v>
      </c>
      <c r="F69" s="11">
        <v>225482</v>
      </c>
      <c r="G69" s="11">
        <v>17468</v>
      </c>
      <c r="H69" s="11"/>
      <c r="I69" s="11"/>
      <c r="J69" s="11">
        <v>32358</v>
      </c>
      <c r="K69" s="11"/>
      <c r="L69" s="11">
        <v>17926</v>
      </c>
      <c r="M69" s="11"/>
      <c r="N69" s="11">
        <v>525368</v>
      </c>
      <c r="O69" s="11">
        <v>217325</v>
      </c>
      <c r="P69" s="11"/>
      <c r="Q69" s="11">
        <v>35925</v>
      </c>
      <c r="R69" s="11">
        <v>6291</v>
      </c>
      <c r="S69" s="11"/>
      <c r="T69" s="11"/>
      <c r="U69" s="11">
        <v>577423.25612063089</v>
      </c>
      <c r="V69" s="11"/>
      <c r="W69" s="11">
        <v>6433077</v>
      </c>
      <c r="X69" s="11">
        <v>1413318</v>
      </c>
      <c r="Y69" s="11">
        <v>55951</v>
      </c>
      <c r="Z69" s="11">
        <v>187589</v>
      </c>
      <c r="AA69" s="11"/>
      <c r="AB69" s="11">
        <v>30710</v>
      </c>
      <c r="AC69" s="11">
        <v>46563</v>
      </c>
      <c r="AD69" s="11">
        <v>5893</v>
      </c>
      <c r="AE69" s="11"/>
      <c r="AF69" s="11">
        <v>2358118</v>
      </c>
      <c r="AG69" s="11">
        <v>2460729</v>
      </c>
      <c r="AH69" s="11">
        <v>3171</v>
      </c>
      <c r="AI69" s="11">
        <f t="shared" si="6"/>
        <v>14778729.256120631</v>
      </c>
    </row>
    <row r="70" spans="1:35" x14ac:dyDescent="0.25">
      <c r="A70" s="29" t="s">
        <v>290</v>
      </c>
      <c r="B70" s="11">
        <v>23787</v>
      </c>
      <c r="C70" s="11"/>
      <c r="D70" s="11"/>
      <c r="E70" s="11">
        <v>88157</v>
      </c>
      <c r="F70" s="11">
        <v>214107</v>
      </c>
      <c r="G70" s="11">
        <v>15312</v>
      </c>
      <c r="H70" s="11">
        <v>992</v>
      </c>
      <c r="I70" s="11"/>
      <c r="J70" s="11">
        <v>31634</v>
      </c>
      <c r="K70" s="11"/>
      <c r="L70" s="11">
        <v>-11587</v>
      </c>
      <c r="M70" s="11"/>
      <c r="N70" s="11">
        <v>495362</v>
      </c>
      <c r="O70" s="11">
        <v>191339</v>
      </c>
      <c r="P70" s="11"/>
      <c r="Q70" s="11">
        <v>29002</v>
      </c>
      <c r="R70" s="11">
        <v>-2250</v>
      </c>
      <c r="S70" s="11"/>
      <c r="T70" s="11"/>
      <c r="U70" s="11">
        <v>538585.83700000006</v>
      </c>
      <c r="V70" s="11"/>
      <c r="W70" s="11">
        <v>6101689</v>
      </c>
      <c r="X70" s="11">
        <v>1398468</v>
      </c>
      <c r="Y70" s="11">
        <v>50692</v>
      </c>
      <c r="Z70" s="11">
        <v>222340</v>
      </c>
      <c r="AA70" s="11"/>
      <c r="AB70" s="11">
        <v>-26732</v>
      </c>
      <c r="AC70" s="11">
        <v>42709</v>
      </c>
      <c r="AD70" s="11">
        <v>5975</v>
      </c>
      <c r="AE70" s="11"/>
      <c r="AF70" s="11">
        <v>2471050</v>
      </c>
      <c r="AG70" s="11">
        <v>2278130</v>
      </c>
      <c r="AH70" s="11">
        <v>2781</v>
      </c>
      <c r="AI70" s="11">
        <f t="shared" si="6"/>
        <v>14161542.837000001</v>
      </c>
    </row>
    <row r="71" spans="1:35" x14ac:dyDescent="0.25">
      <c r="A71" s="29" t="s">
        <v>285</v>
      </c>
      <c r="B71" s="11">
        <v>22893</v>
      </c>
      <c r="C71" s="11"/>
      <c r="D71" s="11"/>
      <c r="E71" s="11">
        <v>11185</v>
      </c>
      <c r="F71" s="11">
        <v>11473</v>
      </c>
      <c r="G71" s="11">
        <v>2314</v>
      </c>
      <c r="H71" s="11"/>
      <c r="I71" s="11"/>
      <c r="J71" s="11">
        <v>920</v>
      </c>
      <c r="K71" s="11"/>
      <c r="L71" s="11">
        <v>566</v>
      </c>
      <c r="M71" s="11"/>
      <c r="N71" s="11">
        <v>19089</v>
      </c>
      <c r="O71" s="11">
        <v>27108</v>
      </c>
      <c r="P71" s="11"/>
      <c r="Q71" s="11">
        <v>6795</v>
      </c>
      <c r="R71" s="11">
        <v>1413</v>
      </c>
      <c r="S71" s="11"/>
      <c r="T71" s="11"/>
      <c r="U71" s="11">
        <v>44448.914270630805</v>
      </c>
      <c r="V71" s="11"/>
      <c r="W71" s="11">
        <v>599540</v>
      </c>
      <c r="X71" s="11">
        <v>9023</v>
      </c>
      <c r="Y71" s="11">
        <v>7255</v>
      </c>
      <c r="Z71" s="11">
        <v>-34748</v>
      </c>
      <c r="AA71" s="11"/>
      <c r="AB71" s="11">
        <v>1895</v>
      </c>
      <c r="AC71" s="11">
        <v>4947</v>
      </c>
      <c r="AD71" s="11">
        <v>-82</v>
      </c>
      <c r="AE71" s="11"/>
      <c r="AF71" s="11">
        <v>105418</v>
      </c>
      <c r="AG71" s="11">
        <v>247851</v>
      </c>
      <c r="AH71" s="11">
        <v>390</v>
      </c>
      <c r="AI71" s="11">
        <f t="shared" si="6"/>
        <v>1089693.9142706308</v>
      </c>
    </row>
    <row r="72" spans="1:35" x14ac:dyDescent="0.25">
      <c r="A72" s="37"/>
    </row>
    <row r="73" spans="1:35" x14ac:dyDescent="0.25">
      <c r="A73" s="38" t="s">
        <v>235</v>
      </c>
    </row>
    <row r="74" spans="1:35" x14ac:dyDescent="0.25">
      <c r="A74" s="4" t="s">
        <v>0</v>
      </c>
      <c r="B74" s="73" t="s">
        <v>1</v>
      </c>
      <c r="C74" s="73" t="s">
        <v>2</v>
      </c>
      <c r="D74" s="73" t="s">
        <v>3</v>
      </c>
      <c r="E74" s="73" t="s">
        <v>4</v>
      </c>
      <c r="F74" s="73" t="s">
        <v>5</v>
      </c>
      <c r="G74" s="73" t="s">
        <v>6</v>
      </c>
      <c r="H74" s="73" t="s">
        <v>7</v>
      </c>
      <c r="I74" s="73" t="s">
        <v>8</v>
      </c>
      <c r="J74" s="73" t="s">
        <v>9</v>
      </c>
      <c r="K74" s="73" t="s">
        <v>10</v>
      </c>
      <c r="L74" s="73" t="s">
        <v>11</v>
      </c>
      <c r="M74" s="73" t="s">
        <v>293</v>
      </c>
      <c r="N74" s="73" t="s">
        <v>12</v>
      </c>
      <c r="O74" s="73" t="s">
        <v>13</v>
      </c>
      <c r="P74" s="73" t="s">
        <v>14</v>
      </c>
      <c r="Q74" s="73" t="s">
        <v>15</v>
      </c>
      <c r="R74" s="73" t="s">
        <v>16</v>
      </c>
      <c r="S74" s="73" t="s">
        <v>295</v>
      </c>
      <c r="T74" s="73" t="s">
        <v>17</v>
      </c>
      <c r="U74" s="73" t="s">
        <v>18</v>
      </c>
      <c r="V74" s="73" t="s">
        <v>294</v>
      </c>
      <c r="W74" s="73" t="s">
        <v>19</v>
      </c>
      <c r="X74" s="73" t="s">
        <v>20</v>
      </c>
      <c r="Y74" s="73" t="s">
        <v>21</v>
      </c>
      <c r="Z74" s="73" t="s">
        <v>22</v>
      </c>
      <c r="AA74" s="73" t="s">
        <v>23</v>
      </c>
      <c r="AB74" s="73" t="s">
        <v>24</v>
      </c>
      <c r="AC74" s="73" t="s">
        <v>25</v>
      </c>
      <c r="AD74" s="73" t="s">
        <v>26</v>
      </c>
      <c r="AE74" s="73" t="s">
        <v>27</v>
      </c>
      <c r="AF74" s="73" t="s">
        <v>28</v>
      </c>
      <c r="AG74" s="72" t="s">
        <v>29</v>
      </c>
      <c r="AH74" s="94" t="s">
        <v>30</v>
      </c>
      <c r="AI74" s="69" t="s">
        <v>31</v>
      </c>
    </row>
    <row r="75" spans="1:35" x14ac:dyDescent="0.25">
      <c r="A75" s="29" t="s">
        <v>240</v>
      </c>
      <c r="B75" s="11"/>
      <c r="C75" s="11"/>
      <c r="D75" s="11"/>
      <c r="E75" s="11">
        <v>46606</v>
      </c>
      <c r="F75" s="11"/>
      <c r="G75" s="11"/>
      <c r="H75" s="11"/>
      <c r="I75" s="11"/>
      <c r="J75" s="11">
        <v>18</v>
      </c>
      <c r="K75" s="11"/>
      <c r="L75" s="11">
        <v>3097</v>
      </c>
      <c r="M75" s="11"/>
      <c r="N75" s="11">
        <v>22362</v>
      </c>
      <c r="O75" s="11"/>
      <c r="P75" s="11"/>
      <c r="Q75" s="11"/>
      <c r="R75" s="11"/>
      <c r="S75" s="11"/>
      <c r="T75" s="11"/>
      <c r="U75" s="11">
        <v>177575.603</v>
      </c>
      <c r="V75" s="11"/>
      <c r="W75" s="11">
        <v>364263</v>
      </c>
      <c r="X75" s="11">
        <v>22196</v>
      </c>
      <c r="Y75" s="11"/>
      <c r="Z75" s="11">
        <v>9811</v>
      </c>
      <c r="AA75" s="11"/>
      <c r="AB75" s="11"/>
      <c r="AC75" s="11"/>
      <c r="AD75" s="11"/>
      <c r="AE75" s="11"/>
      <c r="AF75" s="11"/>
      <c r="AG75" s="11">
        <v>-4434</v>
      </c>
      <c r="AH75" s="11"/>
      <c r="AI75" s="11">
        <f t="shared" ref="AI75:AI81" si="7">SUM(B75:AH75)</f>
        <v>641494.603</v>
      </c>
    </row>
    <row r="76" spans="1:35" x14ac:dyDescent="0.25">
      <c r="A76" s="29" t="s">
        <v>288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>
        <v>112198.033</v>
      </c>
      <c r="V76" s="11"/>
      <c r="W76" s="11"/>
      <c r="X76" s="11">
        <v>261620</v>
      </c>
      <c r="Y76" s="11"/>
      <c r="Z76" s="11"/>
      <c r="AA76" s="11"/>
      <c r="AB76" s="11"/>
      <c r="AC76" s="11"/>
      <c r="AD76" s="11"/>
      <c r="AE76" s="11"/>
      <c r="AF76" s="11"/>
      <c r="AG76" s="11">
        <v>9727</v>
      </c>
      <c r="AH76" s="11"/>
      <c r="AI76" s="11">
        <f t="shared" si="7"/>
        <v>383545.033</v>
      </c>
    </row>
    <row r="77" spans="1:35" x14ac:dyDescent="0.25">
      <c r="A77" s="29" t="s">
        <v>289</v>
      </c>
      <c r="B77" s="11"/>
      <c r="C77" s="11"/>
      <c r="D77" s="11"/>
      <c r="E77" s="11">
        <v>21726</v>
      </c>
      <c r="F77" s="11"/>
      <c r="G77" s="11"/>
      <c r="H77" s="11"/>
      <c r="I77" s="11"/>
      <c r="J77" s="11">
        <v>1</v>
      </c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>
        <v>102248.939</v>
      </c>
      <c r="V77" s="11"/>
      <c r="W77" s="11"/>
      <c r="X77" s="11">
        <v>33469</v>
      </c>
      <c r="Y77" s="11"/>
      <c r="Z77" s="11">
        <v>9695</v>
      </c>
      <c r="AA77" s="11"/>
      <c r="AB77" s="11"/>
      <c r="AC77" s="11"/>
      <c r="AD77" s="11"/>
      <c r="AE77" s="11"/>
      <c r="AF77" s="11"/>
      <c r="AG77" s="11">
        <v>311852</v>
      </c>
      <c r="AH77" s="11"/>
      <c r="AI77" s="11">
        <f t="shared" si="7"/>
        <v>478991.93900000001</v>
      </c>
    </row>
    <row r="78" spans="1:35" x14ac:dyDescent="0.25">
      <c r="A78" s="29" t="s">
        <v>292</v>
      </c>
      <c r="B78" s="11"/>
      <c r="C78" s="11"/>
      <c r="D78" s="11"/>
      <c r="E78" s="11"/>
      <c r="F78" s="11"/>
      <c r="G78" s="11"/>
      <c r="H78" s="11"/>
      <c r="I78" s="11"/>
      <c r="J78" s="11">
        <v>18</v>
      </c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>
        <v>187524.69699999999</v>
      </c>
      <c r="V78" s="11"/>
      <c r="W78" s="11"/>
      <c r="X78" s="11"/>
      <c r="Y78" s="11"/>
      <c r="Z78" s="11">
        <v>116</v>
      </c>
      <c r="AA78" s="11"/>
      <c r="AB78" s="11"/>
      <c r="AC78" s="11"/>
      <c r="AD78" s="11"/>
      <c r="AE78" s="11"/>
      <c r="AF78" s="11"/>
      <c r="AG78" s="11"/>
      <c r="AH78" s="11"/>
      <c r="AI78" s="11">
        <f t="shared" si="7"/>
        <v>187658.69699999999</v>
      </c>
    </row>
    <row r="79" spans="1:35" x14ac:dyDescent="0.25">
      <c r="A79" s="29" t="s">
        <v>291</v>
      </c>
      <c r="B79" s="11"/>
      <c r="C79" s="11"/>
      <c r="D79" s="11"/>
      <c r="E79" s="11">
        <v>133150</v>
      </c>
      <c r="F79" s="11"/>
      <c r="G79" s="11"/>
      <c r="H79" s="11"/>
      <c r="I79" s="11"/>
      <c r="J79" s="11">
        <v>10404</v>
      </c>
      <c r="K79" s="11"/>
      <c r="L79" s="11">
        <v>779255</v>
      </c>
      <c r="M79" s="11"/>
      <c r="N79" s="11">
        <v>1844409</v>
      </c>
      <c r="O79" s="11">
        <v>1297</v>
      </c>
      <c r="P79" s="11"/>
      <c r="Q79" s="11"/>
      <c r="R79" s="11"/>
      <c r="S79" s="11"/>
      <c r="T79" s="11"/>
      <c r="U79" s="11">
        <v>1082137.6331318561</v>
      </c>
      <c r="V79" s="11"/>
      <c r="W79" s="11">
        <v>2139060</v>
      </c>
      <c r="X79" s="11">
        <v>1002246</v>
      </c>
      <c r="Y79" s="11"/>
      <c r="Z79" s="11">
        <v>8961</v>
      </c>
      <c r="AA79" s="11"/>
      <c r="AB79" s="11"/>
      <c r="AC79" s="11">
        <v>152</v>
      </c>
      <c r="AD79" s="11"/>
      <c r="AE79" s="11"/>
      <c r="AF79" s="11">
        <v>2367</v>
      </c>
      <c r="AG79" s="11">
        <v>921987</v>
      </c>
      <c r="AH79" s="11"/>
      <c r="AI79" s="11">
        <f t="shared" si="7"/>
        <v>7925425.6331318561</v>
      </c>
    </row>
    <row r="80" spans="1:35" x14ac:dyDescent="0.25">
      <c r="A80" s="29" t="s">
        <v>290</v>
      </c>
      <c r="B80" s="11"/>
      <c r="C80" s="11"/>
      <c r="D80" s="11"/>
      <c r="E80" s="11">
        <v>120483</v>
      </c>
      <c r="F80" s="11"/>
      <c r="G80" s="11"/>
      <c r="H80" s="11"/>
      <c r="I80" s="11"/>
      <c r="J80" s="11">
        <v>5044</v>
      </c>
      <c r="K80" s="11"/>
      <c r="L80" s="11">
        <v>-595965</v>
      </c>
      <c r="M80" s="11"/>
      <c r="N80" s="11">
        <v>1737914</v>
      </c>
      <c r="O80" s="11">
        <v>799</v>
      </c>
      <c r="P80" s="11"/>
      <c r="Q80" s="11"/>
      <c r="R80" s="11"/>
      <c r="S80" s="11"/>
      <c r="T80" s="11"/>
      <c r="U80" s="11">
        <v>1174949.0079999999</v>
      </c>
      <c r="V80" s="11"/>
      <c r="W80" s="11">
        <v>2487471</v>
      </c>
      <c r="X80" s="11">
        <v>980789</v>
      </c>
      <c r="Y80" s="11"/>
      <c r="Z80" s="11">
        <v>8918</v>
      </c>
      <c r="AA80" s="11"/>
      <c r="AB80" s="11"/>
      <c r="AC80" s="11">
        <v>155</v>
      </c>
      <c r="AD80" s="11"/>
      <c r="AE80" s="11"/>
      <c r="AF80" s="11">
        <v>2367</v>
      </c>
      <c r="AG80" s="11">
        <v>821158</v>
      </c>
      <c r="AH80" s="11"/>
      <c r="AI80" s="11">
        <f t="shared" si="7"/>
        <v>6744082.0079999994</v>
      </c>
    </row>
    <row r="81" spans="1:35" x14ac:dyDescent="0.25">
      <c r="A81" s="29" t="s">
        <v>285</v>
      </c>
      <c r="B81" s="11"/>
      <c r="C81" s="11"/>
      <c r="D81" s="11"/>
      <c r="E81" s="11">
        <v>37547</v>
      </c>
      <c r="F81" s="11"/>
      <c r="G81" s="11"/>
      <c r="H81" s="11"/>
      <c r="I81" s="11"/>
      <c r="J81" s="11">
        <v>5377</v>
      </c>
      <c r="K81" s="11"/>
      <c r="L81" s="11">
        <v>4365</v>
      </c>
      <c r="M81" s="11"/>
      <c r="N81" s="11">
        <v>31054</v>
      </c>
      <c r="O81" s="11">
        <v>498</v>
      </c>
      <c r="P81" s="11"/>
      <c r="Q81" s="11"/>
      <c r="R81" s="11"/>
      <c r="S81" s="11"/>
      <c r="T81" s="11"/>
      <c r="U81" s="11">
        <v>94713.322131856112</v>
      </c>
      <c r="V81" s="11"/>
      <c r="W81" s="11">
        <v>331942</v>
      </c>
      <c r="X81" s="11">
        <v>271804</v>
      </c>
      <c r="Y81" s="11"/>
      <c r="Z81" s="11">
        <v>159</v>
      </c>
      <c r="AA81" s="11"/>
      <c r="AB81" s="11"/>
      <c r="AC81" s="11">
        <v>-3</v>
      </c>
      <c r="AD81" s="11"/>
      <c r="AE81" s="11"/>
      <c r="AF81" s="11"/>
      <c r="AG81" s="11">
        <v>-205730</v>
      </c>
      <c r="AH81" s="11"/>
      <c r="AI81" s="11">
        <f t="shared" si="7"/>
        <v>571726.32213185611</v>
      </c>
    </row>
    <row r="82" spans="1:35" x14ac:dyDescent="0.25">
      <c r="A82" s="19"/>
    </row>
    <row r="83" spans="1:35" x14ac:dyDescent="0.25">
      <c r="A83" s="36" t="s">
        <v>236</v>
      </c>
    </row>
    <row r="84" spans="1:35" x14ac:dyDescent="0.25">
      <c r="A84" s="4" t="s">
        <v>0</v>
      </c>
      <c r="B84" s="73" t="s">
        <v>1</v>
      </c>
      <c r="C84" s="73" t="s">
        <v>2</v>
      </c>
      <c r="D84" s="73" t="s">
        <v>3</v>
      </c>
      <c r="E84" s="73" t="s">
        <v>4</v>
      </c>
      <c r="F84" s="73" t="s">
        <v>5</v>
      </c>
      <c r="G84" s="73" t="s">
        <v>6</v>
      </c>
      <c r="H84" s="73" t="s">
        <v>7</v>
      </c>
      <c r="I84" s="73" t="s">
        <v>8</v>
      </c>
      <c r="J84" s="73" t="s">
        <v>9</v>
      </c>
      <c r="K84" s="73" t="s">
        <v>10</v>
      </c>
      <c r="L84" s="73" t="s">
        <v>11</v>
      </c>
      <c r="M84" s="73" t="s">
        <v>293</v>
      </c>
      <c r="N84" s="73" t="s">
        <v>12</v>
      </c>
      <c r="O84" s="73" t="s">
        <v>13</v>
      </c>
      <c r="P84" s="73" t="s">
        <v>14</v>
      </c>
      <c r="Q84" s="73" t="s">
        <v>15</v>
      </c>
      <c r="R84" s="73" t="s">
        <v>16</v>
      </c>
      <c r="S84" s="73" t="s">
        <v>295</v>
      </c>
      <c r="T84" s="73" t="s">
        <v>17</v>
      </c>
      <c r="U84" s="73" t="s">
        <v>18</v>
      </c>
      <c r="V84" s="73" t="s">
        <v>294</v>
      </c>
      <c r="W84" s="73" t="s">
        <v>19</v>
      </c>
      <c r="X84" s="73" t="s">
        <v>20</v>
      </c>
      <c r="Y84" s="73" t="s">
        <v>21</v>
      </c>
      <c r="Z84" s="73" t="s">
        <v>22</v>
      </c>
      <c r="AA84" s="73" t="s">
        <v>23</v>
      </c>
      <c r="AB84" s="73" t="s">
        <v>24</v>
      </c>
      <c r="AC84" s="73" t="s">
        <v>25</v>
      </c>
      <c r="AD84" s="73" t="s">
        <v>26</v>
      </c>
      <c r="AE84" s="73" t="s">
        <v>27</v>
      </c>
      <c r="AF84" s="73" t="s">
        <v>28</v>
      </c>
      <c r="AG84" s="72" t="s">
        <v>29</v>
      </c>
      <c r="AH84" s="94" t="s">
        <v>30</v>
      </c>
      <c r="AI84" s="69" t="s">
        <v>31</v>
      </c>
    </row>
    <row r="85" spans="1:35" x14ac:dyDescent="0.25">
      <c r="A85" s="29" t="s">
        <v>240</v>
      </c>
      <c r="B85" s="11">
        <f>B95-B75-B65-B55-B35-B25-B15-B5-B45</f>
        <v>0</v>
      </c>
      <c r="C85" s="11">
        <f t="shared" ref="C85:AH85" si="8">C95-C75-C65-C55-C35-C25-C15-C5-C45</f>
        <v>0</v>
      </c>
      <c r="D85" s="11">
        <f t="shared" si="8"/>
        <v>28793320</v>
      </c>
      <c r="E85" s="11">
        <f t="shared" si="8"/>
        <v>10018974</v>
      </c>
      <c r="F85" s="11">
        <f t="shared" si="8"/>
        <v>39079</v>
      </c>
      <c r="G85" s="11">
        <f t="shared" si="8"/>
        <v>200943</v>
      </c>
      <c r="H85" s="11">
        <f t="shared" si="8"/>
        <v>0</v>
      </c>
      <c r="I85" s="11">
        <f t="shared" si="8"/>
        <v>2027142.98</v>
      </c>
      <c r="J85" s="11">
        <f t="shared" si="8"/>
        <v>1721024</v>
      </c>
      <c r="K85" s="11">
        <f t="shared" si="8"/>
        <v>6195.9700000000012</v>
      </c>
      <c r="L85" s="11">
        <f t="shared" si="8"/>
        <v>7895644</v>
      </c>
      <c r="M85" s="11">
        <f t="shared" si="8"/>
        <v>1577</v>
      </c>
      <c r="N85" s="11">
        <f t="shared" si="8"/>
        <v>15526496</v>
      </c>
      <c r="O85" s="11">
        <f t="shared" si="8"/>
        <v>813440</v>
      </c>
      <c r="P85" s="11">
        <f t="shared" si="8"/>
        <v>1180</v>
      </c>
      <c r="Q85" s="11">
        <f t="shared" si="8"/>
        <v>28027</v>
      </c>
      <c r="R85" s="11">
        <f t="shared" si="8"/>
        <v>666</v>
      </c>
      <c r="S85" s="11">
        <f t="shared" si="8"/>
        <v>0</v>
      </c>
      <c r="T85" s="11">
        <f t="shared" si="8"/>
        <v>0</v>
      </c>
      <c r="U85" s="11">
        <f t="shared" si="8"/>
        <v>3105011.3859999999</v>
      </c>
      <c r="V85" s="11">
        <f t="shared" si="8"/>
        <v>3919</v>
      </c>
      <c r="W85" s="11">
        <f t="shared" si="8"/>
        <v>7319624</v>
      </c>
      <c r="X85" s="11">
        <f t="shared" si="8"/>
        <v>5211430</v>
      </c>
      <c r="Y85" s="11">
        <f t="shared" si="8"/>
        <v>6755</v>
      </c>
      <c r="Z85" s="11">
        <f t="shared" si="8"/>
        <v>652386</v>
      </c>
      <c r="AA85" s="11">
        <f t="shared" si="8"/>
        <v>0</v>
      </c>
      <c r="AB85" s="11">
        <f t="shared" si="8"/>
        <v>371696</v>
      </c>
      <c r="AC85" s="11">
        <f t="shared" si="8"/>
        <v>3998296</v>
      </c>
      <c r="AD85" s="11">
        <f t="shared" si="8"/>
        <v>1539</v>
      </c>
      <c r="AE85" s="11">
        <f t="shared" si="8"/>
        <v>6389480</v>
      </c>
      <c r="AF85" s="11">
        <f t="shared" si="8"/>
        <v>334661</v>
      </c>
      <c r="AG85" s="11">
        <f t="shared" si="8"/>
        <v>797148</v>
      </c>
      <c r="AH85" s="11">
        <f t="shared" si="8"/>
        <v>186086</v>
      </c>
      <c r="AI85" s="11">
        <f t="shared" ref="AI85:AI91" si="9">SUM(B85:AH85)</f>
        <v>95451740.335999995</v>
      </c>
    </row>
    <row r="86" spans="1:35" x14ac:dyDescent="0.25">
      <c r="A86" s="29" t="s">
        <v>288</v>
      </c>
      <c r="B86" s="11">
        <f t="shared" ref="B86:AH86" si="10">B96-B76-B66-B56-B36-B26-B16-B6-B46</f>
        <v>0</v>
      </c>
      <c r="C86" s="11">
        <f t="shared" si="10"/>
        <v>0</v>
      </c>
      <c r="D86" s="11">
        <f t="shared" si="10"/>
        <v>0</v>
      </c>
      <c r="E86" s="11">
        <f t="shared" si="10"/>
        <v>3</v>
      </c>
      <c r="F86" s="11">
        <f t="shared" si="10"/>
        <v>0</v>
      </c>
      <c r="G86" s="11">
        <f t="shared" si="10"/>
        <v>0</v>
      </c>
      <c r="H86" s="11">
        <f t="shared" si="10"/>
        <v>0</v>
      </c>
      <c r="I86" s="11">
        <f t="shared" si="10"/>
        <v>0</v>
      </c>
      <c r="J86" s="11">
        <f t="shared" si="10"/>
        <v>-1</v>
      </c>
      <c r="K86" s="11">
        <f t="shared" si="10"/>
        <v>299186.24</v>
      </c>
      <c r="L86" s="11">
        <f t="shared" si="10"/>
        <v>0</v>
      </c>
      <c r="M86" s="11">
        <f t="shared" si="10"/>
        <v>0</v>
      </c>
      <c r="N86" s="11">
        <f t="shared" si="10"/>
        <v>0</v>
      </c>
      <c r="O86" s="11">
        <f t="shared" si="10"/>
        <v>0</v>
      </c>
      <c r="P86" s="11">
        <f t="shared" si="10"/>
        <v>0</v>
      </c>
      <c r="Q86" s="11">
        <f t="shared" si="10"/>
        <v>0</v>
      </c>
      <c r="R86" s="11">
        <f t="shared" si="10"/>
        <v>0</v>
      </c>
      <c r="S86" s="11">
        <f t="shared" si="10"/>
        <v>0</v>
      </c>
      <c r="T86" s="11">
        <f t="shared" si="10"/>
        <v>0</v>
      </c>
      <c r="U86" s="11">
        <f t="shared" si="10"/>
        <v>87704.802999999956</v>
      </c>
      <c r="V86" s="11">
        <f t="shared" si="10"/>
        <v>0</v>
      </c>
      <c r="W86" s="11">
        <f t="shared" si="10"/>
        <v>0</v>
      </c>
      <c r="X86" s="11">
        <f t="shared" si="10"/>
        <v>7769</v>
      </c>
      <c r="Y86" s="11">
        <f t="shared" si="10"/>
        <v>0</v>
      </c>
      <c r="Z86" s="11">
        <f t="shared" si="10"/>
        <v>2</v>
      </c>
      <c r="AA86" s="11">
        <f t="shared" si="10"/>
        <v>0</v>
      </c>
      <c r="AB86" s="11">
        <f t="shared" si="10"/>
        <v>0</v>
      </c>
      <c r="AC86" s="11">
        <f t="shared" si="10"/>
        <v>-2050</v>
      </c>
      <c r="AD86" s="11">
        <f t="shared" si="10"/>
        <v>-1</v>
      </c>
      <c r="AE86" s="11">
        <f t="shared" si="10"/>
        <v>0</v>
      </c>
      <c r="AF86" s="11">
        <f t="shared" si="10"/>
        <v>1</v>
      </c>
      <c r="AG86" s="11">
        <f t="shared" si="10"/>
        <v>-78691</v>
      </c>
      <c r="AH86" s="11">
        <f t="shared" si="10"/>
        <v>0</v>
      </c>
      <c r="AI86" s="11">
        <f t="shared" si="9"/>
        <v>313923.04299999995</v>
      </c>
    </row>
    <row r="87" spans="1:35" x14ac:dyDescent="0.25">
      <c r="A87" s="29" t="s">
        <v>289</v>
      </c>
      <c r="B87" s="11">
        <f t="shared" ref="B87:AH87" si="11">B97-B77-B67-B57-B37-B27-B17-B7-B47</f>
        <v>0</v>
      </c>
      <c r="C87" s="11">
        <f t="shared" si="11"/>
        <v>0</v>
      </c>
      <c r="D87" s="11">
        <f t="shared" si="11"/>
        <v>21408950</v>
      </c>
      <c r="E87" s="11">
        <f t="shared" si="11"/>
        <v>7971734</v>
      </c>
      <c r="F87" s="11">
        <f t="shared" si="11"/>
        <v>16751</v>
      </c>
      <c r="G87" s="11">
        <f t="shared" si="11"/>
        <v>161993</v>
      </c>
      <c r="H87" s="11">
        <f t="shared" si="11"/>
        <v>-441</v>
      </c>
      <c r="I87" s="11">
        <f t="shared" si="11"/>
        <v>545733.27</v>
      </c>
      <c r="J87" s="11">
        <f t="shared" si="11"/>
        <v>1273831</v>
      </c>
      <c r="K87" s="11">
        <f t="shared" si="11"/>
        <v>142110.68</v>
      </c>
      <c r="L87" s="11">
        <f t="shared" si="11"/>
        <v>0</v>
      </c>
      <c r="M87" s="11">
        <f t="shared" si="11"/>
        <v>78</v>
      </c>
      <c r="N87" s="11">
        <f t="shared" si="11"/>
        <v>0</v>
      </c>
      <c r="O87" s="11">
        <f t="shared" si="11"/>
        <v>565484</v>
      </c>
      <c r="P87" s="11">
        <f t="shared" si="11"/>
        <v>497</v>
      </c>
      <c r="Q87" s="11">
        <f t="shared" si="11"/>
        <v>8923</v>
      </c>
      <c r="R87" s="11">
        <f t="shared" si="11"/>
        <v>0</v>
      </c>
      <c r="S87" s="11">
        <f t="shared" si="11"/>
        <v>0</v>
      </c>
      <c r="T87" s="11">
        <f t="shared" si="11"/>
        <v>0</v>
      </c>
      <c r="U87" s="11">
        <f t="shared" si="11"/>
        <v>2132642.1558039975</v>
      </c>
      <c r="V87" s="11">
        <f t="shared" si="11"/>
        <v>0</v>
      </c>
      <c r="W87" s="11">
        <f t="shared" si="11"/>
        <v>0</v>
      </c>
      <c r="X87" s="11">
        <f t="shared" si="11"/>
        <v>2888763</v>
      </c>
      <c r="Y87" s="11">
        <f t="shared" si="11"/>
        <v>1924</v>
      </c>
      <c r="Z87" s="11">
        <f t="shared" si="11"/>
        <v>462728</v>
      </c>
      <c r="AA87" s="11">
        <f t="shared" si="11"/>
        <v>0</v>
      </c>
      <c r="AB87" s="11">
        <f t="shared" si="11"/>
        <v>-314111</v>
      </c>
      <c r="AC87" s="11">
        <f t="shared" si="11"/>
        <v>4018147</v>
      </c>
      <c r="AD87" s="11">
        <f t="shared" si="11"/>
        <v>944</v>
      </c>
      <c r="AE87" s="11">
        <f t="shared" si="11"/>
        <v>1583683</v>
      </c>
      <c r="AF87" s="11">
        <f t="shared" si="11"/>
        <v>177805</v>
      </c>
      <c r="AG87" s="11">
        <f t="shared" si="11"/>
        <v>1101194</v>
      </c>
      <c r="AH87" s="11">
        <f t="shared" si="11"/>
        <v>124509</v>
      </c>
      <c r="AI87" s="11">
        <f t="shared" si="9"/>
        <v>44273872.105803996</v>
      </c>
    </row>
    <row r="88" spans="1:35" x14ac:dyDescent="0.25">
      <c r="A88" s="29" t="s">
        <v>292</v>
      </c>
      <c r="B88" s="11">
        <f t="shared" ref="B88:AH88" si="12">B98-B78-B68-B58-B38-B28-B18-B8-B48</f>
        <v>0</v>
      </c>
      <c r="C88" s="11">
        <f t="shared" si="12"/>
        <v>0</v>
      </c>
      <c r="D88" s="11">
        <f t="shared" si="12"/>
        <v>7384370</v>
      </c>
      <c r="E88" s="11">
        <f t="shared" si="12"/>
        <v>0</v>
      </c>
      <c r="F88" s="11">
        <f t="shared" si="12"/>
        <v>22328</v>
      </c>
      <c r="G88" s="11">
        <f t="shared" si="12"/>
        <v>0</v>
      </c>
      <c r="H88" s="11">
        <f t="shared" si="12"/>
        <v>0</v>
      </c>
      <c r="I88" s="11">
        <f t="shared" si="12"/>
        <v>1317573.3400000001</v>
      </c>
      <c r="J88" s="11">
        <f t="shared" si="12"/>
        <v>447193</v>
      </c>
      <c r="K88" s="11">
        <f t="shared" si="12"/>
        <v>163271</v>
      </c>
      <c r="L88" s="11">
        <f t="shared" si="12"/>
        <v>0</v>
      </c>
      <c r="M88" s="11">
        <f t="shared" si="12"/>
        <v>0</v>
      </c>
      <c r="N88" s="11">
        <f t="shared" si="12"/>
        <v>0</v>
      </c>
      <c r="O88" s="11">
        <f t="shared" si="12"/>
        <v>0</v>
      </c>
      <c r="P88" s="11">
        <f t="shared" si="12"/>
        <v>0</v>
      </c>
      <c r="Q88" s="11">
        <f t="shared" si="12"/>
        <v>0</v>
      </c>
      <c r="R88" s="11">
        <f t="shared" si="12"/>
        <v>0</v>
      </c>
      <c r="S88" s="11">
        <f t="shared" si="12"/>
        <v>0</v>
      </c>
      <c r="T88" s="11">
        <f t="shared" si="12"/>
        <v>0</v>
      </c>
      <c r="U88" s="11">
        <f t="shared" si="12"/>
        <v>1060073.0331960032</v>
      </c>
      <c r="V88" s="11">
        <f t="shared" si="12"/>
        <v>0</v>
      </c>
      <c r="W88" s="11">
        <f t="shared" si="12"/>
        <v>0</v>
      </c>
      <c r="X88" s="11">
        <f t="shared" si="12"/>
        <v>0</v>
      </c>
      <c r="Y88" s="11">
        <f t="shared" si="12"/>
        <v>0</v>
      </c>
      <c r="Z88" s="11">
        <f t="shared" si="12"/>
        <v>189660</v>
      </c>
      <c r="AA88" s="11">
        <f t="shared" si="12"/>
        <v>0</v>
      </c>
      <c r="AB88" s="11">
        <f t="shared" si="12"/>
        <v>0</v>
      </c>
      <c r="AC88" s="11">
        <f t="shared" si="12"/>
        <v>0</v>
      </c>
      <c r="AD88" s="11">
        <f t="shared" si="12"/>
        <v>596</v>
      </c>
      <c r="AE88" s="11">
        <f t="shared" si="12"/>
        <v>0</v>
      </c>
      <c r="AF88" s="11">
        <f t="shared" si="12"/>
        <v>0</v>
      </c>
      <c r="AG88" s="11">
        <f t="shared" si="12"/>
        <v>0</v>
      </c>
      <c r="AH88" s="11">
        <f t="shared" si="12"/>
        <v>0</v>
      </c>
      <c r="AI88" s="11">
        <f t="shared" si="9"/>
        <v>10585064.373196002</v>
      </c>
    </row>
    <row r="89" spans="1:35" x14ac:dyDescent="0.25">
      <c r="A89" s="29" t="s">
        <v>291</v>
      </c>
      <c r="B89" s="11">
        <f t="shared" ref="B89:AH89" si="13">B99-B79-B69-B59-B39-B29-B19-B9-B49</f>
        <v>0</v>
      </c>
      <c r="C89" s="11">
        <f t="shared" si="13"/>
        <v>0</v>
      </c>
      <c r="D89" s="11">
        <f t="shared" si="13"/>
        <v>23454145</v>
      </c>
      <c r="E89" s="11">
        <f t="shared" si="13"/>
        <v>4687549</v>
      </c>
      <c r="F89" s="11">
        <f t="shared" si="13"/>
        <v>846017</v>
      </c>
      <c r="G89" s="11">
        <f t="shared" si="13"/>
        <v>204260</v>
      </c>
      <c r="H89" s="11">
        <f t="shared" si="13"/>
        <v>91</v>
      </c>
      <c r="I89" s="11">
        <f t="shared" si="13"/>
        <v>68998543.780000001</v>
      </c>
      <c r="J89" s="11">
        <f t="shared" si="13"/>
        <v>2166019</v>
      </c>
      <c r="K89" s="11">
        <f t="shared" si="13"/>
        <v>464840.30000000005</v>
      </c>
      <c r="L89" s="11">
        <f t="shared" si="13"/>
        <v>16682932</v>
      </c>
      <c r="M89" s="11">
        <f t="shared" si="13"/>
        <v>156611</v>
      </c>
      <c r="N89" s="11">
        <f t="shared" si="13"/>
        <v>18112767</v>
      </c>
      <c r="O89" s="11">
        <f t="shared" si="13"/>
        <v>5060454</v>
      </c>
      <c r="P89" s="11">
        <f t="shared" si="13"/>
        <v>15468</v>
      </c>
      <c r="Q89" s="11">
        <f t="shared" si="13"/>
        <v>465081</v>
      </c>
      <c r="R89" s="11">
        <f t="shared" si="13"/>
        <v>1111638</v>
      </c>
      <c r="S89" s="11">
        <f t="shared" si="13"/>
        <v>0</v>
      </c>
      <c r="T89" s="11">
        <f t="shared" si="13"/>
        <v>0</v>
      </c>
      <c r="U89" s="11">
        <f t="shared" si="13"/>
        <v>10877684.917909855</v>
      </c>
      <c r="V89" s="11">
        <f t="shared" si="13"/>
        <v>15719</v>
      </c>
      <c r="W89" s="11">
        <f t="shared" si="13"/>
        <v>35097648</v>
      </c>
      <c r="X89" s="11">
        <f t="shared" si="13"/>
        <v>28637268</v>
      </c>
      <c r="Y89" s="11">
        <f t="shared" si="13"/>
        <v>410604</v>
      </c>
      <c r="Z89" s="11">
        <f t="shared" si="13"/>
        <v>4873162</v>
      </c>
      <c r="AA89" s="11">
        <f t="shared" si="13"/>
        <v>0</v>
      </c>
      <c r="AB89" s="11">
        <f t="shared" si="13"/>
        <v>4319562</v>
      </c>
      <c r="AC89" s="11">
        <f t="shared" si="13"/>
        <v>9140850</v>
      </c>
      <c r="AD89" s="11">
        <f t="shared" si="13"/>
        <v>162349</v>
      </c>
      <c r="AE89" s="11">
        <f t="shared" si="13"/>
        <v>6243747</v>
      </c>
      <c r="AF89" s="11">
        <f t="shared" si="13"/>
        <v>3535663</v>
      </c>
      <c r="AG89" s="11">
        <f t="shared" si="13"/>
        <v>27683152</v>
      </c>
      <c r="AH89" s="11">
        <f t="shared" si="13"/>
        <v>1087300</v>
      </c>
      <c r="AI89" s="11">
        <f t="shared" si="9"/>
        <v>274511124.99790984</v>
      </c>
    </row>
    <row r="90" spans="1:35" x14ac:dyDescent="0.25">
      <c r="A90" s="29" t="s">
        <v>290</v>
      </c>
      <c r="B90" s="11">
        <f t="shared" ref="B90:AH90" si="14">B100-B80-B70-B60-B40-B30-B20-B10-B50</f>
        <v>0</v>
      </c>
      <c r="C90" s="11">
        <f t="shared" si="14"/>
        <v>0</v>
      </c>
      <c r="D90" s="11">
        <f t="shared" si="14"/>
        <v>30548700</v>
      </c>
      <c r="E90" s="11">
        <f t="shared" si="14"/>
        <v>5945011</v>
      </c>
      <c r="F90" s="11">
        <f t="shared" si="14"/>
        <v>1014344</v>
      </c>
      <c r="G90" s="11">
        <f t="shared" si="14"/>
        <v>229418</v>
      </c>
      <c r="H90" s="11">
        <f t="shared" si="14"/>
        <v>505</v>
      </c>
      <c r="I90" s="11">
        <f t="shared" si="14"/>
        <v>66741573.270000003</v>
      </c>
      <c r="J90" s="11">
        <f t="shared" si="14"/>
        <v>2227212</v>
      </c>
      <c r="K90" s="11">
        <f t="shared" si="14"/>
        <v>556132.53</v>
      </c>
      <c r="L90" s="11">
        <f t="shared" si="14"/>
        <v>-23223637</v>
      </c>
      <c r="M90" s="11">
        <f t="shared" si="14"/>
        <v>140510</v>
      </c>
      <c r="N90" s="11">
        <f t="shared" si="14"/>
        <v>32274630</v>
      </c>
      <c r="O90" s="11">
        <f t="shared" si="14"/>
        <v>5094475</v>
      </c>
      <c r="P90" s="11">
        <f t="shared" si="14"/>
        <v>13421</v>
      </c>
      <c r="Q90" s="11">
        <f t="shared" si="14"/>
        <v>353723</v>
      </c>
      <c r="R90" s="11">
        <f t="shared" si="14"/>
        <v>-1082255</v>
      </c>
      <c r="S90" s="11">
        <f t="shared" si="14"/>
        <v>0</v>
      </c>
      <c r="T90" s="11">
        <f t="shared" si="14"/>
        <v>0</v>
      </c>
      <c r="U90" s="11">
        <f t="shared" si="14"/>
        <v>11296161.485349488</v>
      </c>
      <c r="V90" s="11">
        <f t="shared" si="14"/>
        <v>-7614</v>
      </c>
      <c r="W90" s="11">
        <f t="shared" si="14"/>
        <v>40171069</v>
      </c>
      <c r="X90" s="11">
        <f t="shared" si="14"/>
        <v>31681158</v>
      </c>
      <c r="Y90" s="11">
        <f t="shared" si="14"/>
        <v>365917</v>
      </c>
      <c r="Z90" s="11">
        <f t="shared" si="14"/>
        <v>4006897</v>
      </c>
      <c r="AA90" s="11">
        <f t="shared" si="14"/>
        <v>0</v>
      </c>
      <c r="AB90" s="11">
        <f t="shared" si="14"/>
        <v>-4646895</v>
      </c>
      <c r="AC90" s="11">
        <f t="shared" si="14"/>
        <v>6928542</v>
      </c>
      <c r="AD90" s="11">
        <f t="shared" si="14"/>
        <v>155510</v>
      </c>
      <c r="AE90" s="11">
        <f t="shared" si="14"/>
        <v>5613924</v>
      </c>
      <c r="AF90" s="11">
        <f t="shared" si="14"/>
        <v>3423599</v>
      </c>
      <c r="AG90" s="11">
        <f t="shared" si="14"/>
        <v>26621788</v>
      </c>
      <c r="AH90" s="11">
        <f t="shared" si="14"/>
        <v>1113818</v>
      </c>
      <c r="AI90" s="11">
        <f t="shared" si="9"/>
        <v>247557637.28534949</v>
      </c>
    </row>
    <row r="91" spans="1:35" x14ac:dyDescent="0.25">
      <c r="A91" s="29" t="s">
        <v>285</v>
      </c>
      <c r="B91" s="11">
        <f>B101-B81-B71-B61-B51-B41-B31-B21-B11</f>
        <v>0</v>
      </c>
      <c r="C91" s="11">
        <f t="shared" ref="C91:AH91" si="15">C101-C81-C71-C61-C51-C41-C31-C21-C11</f>
        <v>0</v>
      </c>
      <c r="D91" s="11">
        <f t="shared" si="15"/>
        <v>289815</v>
      </c>
      <c r="E91" s="11">
        <f t="shared" si="15"/>
        <v>789781</v>
      </c>
      <c r="F91" s="11">
        <f t="shared" si="15"/>
        <v>-145998</v>
      </c>
      <c r="G91" s="11">
        <f t="shared" si="15"/>
        <v>13792</v>
      </c>
      <c r="H91" s="11">
        <f t="shared" si="15"/>
        <v>27</v>
      </c>
      <c r="I91" s="11">
        <f t="shared" si="15"/>
        <v>3574543.85</v>
      </c>
      <c r="J91" s="11">
        <f t="shared" si="15"/>
        <v>386001</v>
      </c>
      <c r="K91" s="11">
        <f t="shared" si="15"/>
        <v>71978</v>
      </c>
      <c r="L91" s="11">
        <f t="shared" si="15"/>
        <v>475396</v>
      </c>
      <c r="M91" s="11">
        <f t="shared" si="15"/>
        <v>17600</v>
      </c>
      <c r="N91" s="11">
        <f t="shared" si="15"/>
        <v>490645</v>
      </c>
      <c r="O91" s="11">
        <f t="shared" si="15"/>
        <v>213935</v>
      </c>
      <c r="P91" s="11">
        <f t="shared" si="15"/>
        <v>2730</v>
      </c>
      <c r="Q91" s="11">
        <f t="shared" si="15"/>
        <v>98712</v>
      </c>
      <c r="R91" s="11">
        <f t="shared" si="15"/>
        <v>1046</v>
      </c>
      <c r="S91" s="11">
        <f t="shared" si="15"/>
        <v>0</v>
      </c>
      <c r="T91" s="11">
        <f t="shared" si="15"/>
        <v>1</v>
      </c>
      <c r="U91" s="11">
        <f t="shared" si="15"/>
        <v>641597.46575633809</v>
      </c>
      <c r="V91" s="11">
        <f t="shared" si="15"/>
        <v>11422</v>
      </c>
      <c r="W91" s="11">
        <f t="shared" si="15"/>
        <v>3120631</v>
      </c>
      <c r="X91" s="11">
        <f t="shared" si="15"/>
        <v>-713454</v>
      </c>
      <c r="Y91" s="11">
        <f t="shared" si="15"/>
        <v>50034</v>
      </c>
      <c r="Z91" s="11">
        <f t="shared" si="15"/>
        <v>755925</v>
      </c>
      <c r="AA91" s="11">
        <f t="shared" si="15"/>
        <v>0</v>
      </c>
      <c r="AB91" s="11">
        <f t="shared" si="15"/>
        <v>15337</v>
      </c>
      <c r="AC91" s="11">
        <f t="shared" si="15"/>
        <v>2190407</v>
      </c>
      <c r="AD91" s="11">
        <f t="shared" si="15"/>
        <v>7434</v>
      </c>
      <c r="AE91" s="11">
        <f t="shared" si="15"/>
        <v>5435620</v>
      </c>
      <c r="AF91" s="11">
        <f t="shared" si="15"/>
        <v>268921</v>
      </c>
      <c r="AG91" s="11">
        <f t="shared" si="15"/>
        <v>678627</v>
      </c>
      <c r="AH91" s="11">
        <f t="shared" si="15"/>
        <v>35059</v>
      </c>
      <c r="AI91" s="11">
        <f t="shared" si="9"/>
        <v>18777565.315756336</v>
      </c>
    </row>
    <row r="92" spans="1:35" x14ac:dyDescent="0.25">
      <c r="A92" s="19"/>
    </row>
    <row r="93" spans="1:35" x14ac:dyDescent="0.25">
      <c r="A93" s="36" t="s">
        <v>52</v>
      </c>
    </row>
    <row r="94" spans="1:35" x14ac:dyDescent="0.25">
      <c r="A94" s="4" t="s">
        <v>0</v>
      </c>
      <c r="B94" s="73" t="s">
        <v>1</v>
      </c>
      <c r="C94" s="73" t="s">
        <v>2</v>
      </c>
      <c r="D94" s="73" t="s">
        <v>3</v>
      </c>
      <c r="E94" s="73" t="s">
        <v>4</v>
      </c>
      <c r="F94" s="73" t="s">
        <v>5</v>
      </c>
      <c r="G94" s="73" t="s">
        <v>6</v>
      </c>
      <c r="H94" s="73" t="s">
        <v>7</v>
      </c>
      <c r="I94" s="73" t="s">
        <v>8</v>
      </c>
      <c r="J94" s="73" t="s">
        <v>9</v>
      </c>
      <c r="K94" s="73" t="s">
        <v>10</v>
      </c>
      <c r="L94" s="73" t="s">
        <v>11</v>
      </c>
      <c r="M94" s="73" t="s">
        <v>293</v>
      </c>
      <c r="N94" s="73" t="s">
        <v>12</v>
      </c>
      <c r="O94" s="73" t="s">
        <v>13</v>
      </c>
      <c r="P94" s="73" t="s">
        <v>14</v>
      </c>
      <c r="Q94" s="73" t="s">
        <v>15</v>
      </c>
      <c r="R94" s="73" t="s">
        <v>16</v>
      </c>
      <c r="S94" s="73" t="s">
        <v>295</v>
      </c>
      <c r="T94" s="73" t="s">
        <v>17</v>
      </c>
      <c r="U94" s="73" t="s">
        <v>18</v>
      </c>
      <c r="V94" s="73" t="s">
        <v>294</v>
      </c>
      <c r="W94" s="73" t="s">
        <v>19</v>
      </c>
      <c r="X94" s="73" t="s">
        <v>20</v>
      </c>
      <c r="Y94" s="73" t="s">
        <v>21</v>
      </c>
      <c r="Z94" s="73" t="s">
        <v>22</v>
      </c>
      <c r="AA94" s="73" t="s">
        <v>23</v>
      </c>
      <c r="AB94" s="73" t="s">
        <v>24</v>
      </c>
      <c r="AC94" s="73" t="s">
        <v>25</v>
      </c>
      <c r="AD94" s="73" t="s">
        <v>26</v>
      </c>
      <c r="AE94" s="73" t="s">
        <v>27</v>
      </c>
      <c r="AF94" s="73" t="s">
        <v>28</v>
      </c>
      <c r="AG94" s="72" t="s">
        <v>29</v>
      </c>
      <c r="AH94" s="94" t="s">
        <v>30</v>
      </c>
      <c r="AI94" s="69" t="s">
        <v>31</v>
      </c>
    </row>
    <row r="95" spans="1:35" x14ac:dyDescent="0.25">
      <c r="A95" s="29" t="s">
        <v>240</v>
      </c>
      <c r="B95" s="11">
        <v>155792</v>
      </c>
      <c r="C95" s="11">
        <v>362324</v>
      </c>
      <c r="D95" s="11">
        <v>28793320</v>
      </c>
      <c r="E95" s="11">
        <v>14587867</v>
      </c>
      <c r="F95" s="11">
        <v>916550</v>
      </c>
      <c r="G95" s="11">
        <v>1846365</v>
      </c>
      <c r="H95" s="11">
        <v>132002</v>
      </c>
      <c r="I95" s="11">
        <v>2027142.98</v>
      </c>
      <c r="J95" s="11">
        <v>2915405</v>
      </c>
      <c r="K95" s="11">
        <v>355207</v>
      </c>
      <c r="L95" s="11">
        <v>11734070</v>
      </c>
      <c r="M95" s="11">
        <v>2530776</v>
      </c>
      <c r="N95" s="11">
        <v>24710222</v>
      </c>
      <c r="O95" s="11">
        <v>5956293</v>
      </c>
      <c r="P95" s="11">
        <v>135217</v>
      </c>
      <c r="Q95" s="11">
        <v>903882</v>
      </c>
      <c r="R95" s="11">
        <v>282155</v>
      </c>
      <c r="S95" s="11">
        <v>388746</v>
      </c>
      <c r="T95" s="11">
        <v>518001</v>
      </c>
      <c r="U95" s="11">
        <v>17018268.566</v>
      </c>
      <c r="V95" s="11">
        <v>53336</v>
      </c>
      <c r="W95" s="11">
        <v>32479262</v>
      </c>
      <c r="X95" s="11">
        <v>16183699</v>
      </c>
      <c r="Y95" s="11">
        <v>19637</v>
      </c>
      <c r="Z95" s="11">
        <v>5256141</v>
      </c>
      <c r="AA95" s="11">
        <v>1037819</v>
      </c>
      <c r="AB95" s="11">
        <v>1839579</v>
      </c>
      <c r="AC95" s="11">
        <v>7932324</v>
      </c>
      <c r="AD95" s="11">
        <v>1059883</v>
      </c>
      <c r="AE95" s="11">
        <v>6389480</v>
      </c>
      <c r="AF95" s="11">
        <v>3898004</v>
      </c>
      <c r="AG95" s="11">
        <v>15011058</v>
      </c>
      <c r="AH95" s="11">
        <v>953327</v>
      </c>
      <c r="AI95" s="11">
        <f t="shared" ref="AI95:AI101" si="16">SUM(B95:AH95)</f>
        <v>208383154.546</v>
      </c>
    </row>
    <row r="96" spans="1:35" x14ac:dyDescent="0.25">
      <c r="A96" s="29" t="s">
        <v>288</v>
      </c>
      <c r="B96" s="11"/>
      <c r="C96" s="11"/>
      <c r="D96" s="11">
        <v>0</v>
      </c>
      <c r="E96" s="11">
        <v>18743</v>
      </c>
      <c r="F96" s="11">
        <v>9548</v>
      </c>
      <c r="G96" s="11">
        <v>458</v>
      </c>
      <c r="H96" s="11">
        <v>20086</v>
      </c>
      <c r="I96" s="11"/>
      <c r="J96" s="11">
        <v>92965</v>
      </c>
      <c r="K96" s="11">
        <v>346565</v>
      </c>
      <c r="L96" s="11"/>
      <c r="M96" s="11"/>
      <c r="N96" s="11"/>
      <c r="O96" s="11">
        <v>65213</v>
      </c>
      <c r="P96" s="11">
        <v>42</v>
      </c>
      <c r="Q96" s="11">
        <v>24</v>
      </c>
      <c r="R96" s="11"/>
      <c r="S96" s="11"/>
      <c r="T96" s="11"/>
      <c r="U96" s="11">
        <v>686701.50399999996</v>
      </c>
      <c r="V96" s="11"/>
      <c r="W96" s="11"/>
      <c r="X96" s="11">
        <v>244974</v>
      </c>
      <c r="Y96" s="11">
        <v>103</v>
      </c>
      <c r="Z96" s="11">
        <v>44528</v>
      </c>
      <c r="AA96" s="11">
        <v>29118</v>
      </c>
      <c r="AB96" s="11">
        <v>4764</v>
      </c>
      <c r="AC96" s="11">
        <v>67</v>
      </c>
      <c r="AD96" s="11">
        <v>85</v>
      </c>
      <c r="AE96" s="11"/>
      <c r="AF96" s="11">
        <v>272620</v>
      </c>
      <c r="AG96" s="11">
        <v>14666</v>
      </c>
      <c r="AH96" s="11">
        <v>11</v>
      </c>
      <c r="AI96" s="11">
        <f t="shared" si="16"/>
        <v>1851281.504</v>
      </c>
    </row>
    <row r="97" spans="1:35" x14ac:dyDescent="0.25">
      <c r="A97" s="29" t="s">
        <v>289</v>
      </c>
      <c r="B97" s="11">
        <v>83460</v>
      </c>
      <c r="C97" s="11">
        <v>46758</v>
      </c>
      <c r="D97" s="11">
        <v>21408950</v>
      </c>
      <c r="E97" s="11">
        <v>9141339</v>
      </c>
      <c r="F97" s="11">
        <v>146616</v>
      </c>
      <c r="G97" s="11">
        <v>591824</v>
      </c>
      <c r="H97" s="11">
        <v>-762185</v>
      </c>
      <c r="I97" s="11">
        <v>545733.27</v>
      </c>
      <c r="J97" s="11">
        <v>1669286</v>
      </c>
      <c r="K97" s="11">
        <v>254617</v>
      </c>
      <c r="L97" s="11"/>
      <c r="M97" s="11">
        <v>471615</v>
      </c>
      <c r="N97" s="11"/>
      <c r="O97" s="11">
        <v>2289925</v>
      </c>
      <c r="P97" s="11">
        <v>15059</v>
      </c>
      <c r="Q97" s="11">
        <v>131547</v>
      </c>
      <c r="R97" s="11"/>
      <c r="S97" s="11">
        <v>20144</v>
      </c>
      <c r="T97" s="11">
        <v>254010</v>
      </c>
      <c r="U97" s="11">
        <v>6482678.1886539981</v>
      </c>
      <c r="V97" s="11"/>
      <c r="W97" s="11"/>
      <c r="X97" s="11">
        <v>5458255</v>
      </c>
      <c r="Y97" s="11">
        <v>2270</v>
      </c>
      <c r="Z97" s="11">
        <v>2836369</v>
      </c>
      <c r="AA97" s="11">
        <v>236286</v>
      </c>
      <c r="AB97" s="11">
        <v>-728202</v>
      </c>
      <c r="AC97" s="11">
        <v>4630907</v>
      </c>
      <c r="AD97" s="11">
        <v>118641</v>
      </c>
      <c r="AE97" s="11">
        <v>1583683</v>
      </c>
      <c r="AF97" s="11">
        <v>1978981</v>
      </c>
      <c r="AG97" s="11">
        <v>8905518</v>
      </c>
      <c r="AH97" s="11">
        <v>256686</v>
      </c>
      <c r="AI97" s="11">
        <f t="shared" si="16"/>
        <v>68070770.458653986</v>
      </c>
    </row>
    <row r="98" spans="1:35" x14ac:dyDescent="0.25">
      <c r="A98" s="29" t="s">
        <v>292</v>
      </c>
      <c r="B98" s="11">
        <v>72332</v>
      </c>
      <c r="C98" s="11">
        <v>315566</v>
      </c>
      <c r="D98" s="11">
        <v>7384370</v>
      </c>
      <c r="E98" s="11"/>
      <c r="F98" s="11">
        <v>779482</v>
      </c>
      <c r="G98" s="11"/>
      <c r="H98" s="11"/>
      <c r="I98" s="11">
        <v>1317573.3400000001</v>
      </c>
      <c r="J98" s="11">
        <v>1339084</v>
      </c>
      <c r="K98" s="11">
        <v>447155</v>
      </c>
      <c r="L98" s="11"/>
      <c r="M98" s="11"/>
      <c r="N98" s="11"/>
      <c r="O98" s="11"/>
      <c r="P98" s="11"/>
      <c r="Q98" s="11"/>
      <c r="R98" s="11"/>
      <c r="S98" s="11"/>
      <c r="T98" s="11"/>
      <c r="U98" s="11">
        <v>11222291.881346002</v>
      </c>
      <c r="V98" s="11"/>
      <c r="W98" s="11"/>
      <c r="X98" s="11"/>
      <c r="Y98" s="11"/>
      <c r="Z98" s="11">
        <v>2464300</v>
      </c>
      <c r="AA98" s="11"/>
      <c r="AB98" s="11"/>
      <c r="AC98" s="11"/>
      <c r="AD98" s="11">
        <v>941327</v>
      </c>
      <c r="AE98" s="11"/>
      <c r="AF98" s="11"/>
      <c r="AG98" s="11"/>
      <c r="AH98" s="11"/>
      <c r="AI98" s="11">
        <f t="shared" si="16"/>
        <v>26283481.221346002</v>
      </c>
    </row>
    <row r="99" spans="1:35" x14ac:dyDescent="0.25">
      <c r="A99" s="29" t="s">
        <v>291</v>
      </c>
      <c r="B99" s="11">
        <v>833078</v>
      </c>
      <c r="C99" s="11">
        <v>1211439</v>
      </c>
      <c r="D99" s="11">
        <v>23454145</v>
      </c>
      <c r="E99" s="11">
        <v>90493021</v>
      </c>
      <c r="F99" s="11">
        <v>25878195</v>
      </c>
      <c r="G99" s="11">
        <v>57323514</v>
      </c>
      <c r="H99" s="11">
        <v>288967</v>
      </c>
      <c r="I99" s="11">
        <v>68998543.780000001</v>
      </c>
      <c r="J99" s="11">
        <v>23675921</v>
      </c>
      <c r="K99" s="11">
        <v>11781992</v>
      </c>
      <c r="L99" s="11">
        <v>84325533</v>
      </c>
      <c r="M99" s="11">
        <v>3156860</v>
      </c>
      <c r="N99" s="11">
        <v>180665360</v>
      </c>
      <c r="O99" s="11">
        <v>57636222</v>
      </c>
      <c r="P99" s="11">
        <v>2744384</v>
      </c>
      <c r="Q99" s="11">
        <v>11149207</v>
      </c>
      <c r="R99" s="11">
        <v>19954346</v>
      </c>
      <c r="S99" s="11">
        <v>730942</v>
      </c>
      <c r="T99" s="11">
        <v>2088219</v>
      </c>
      <c r="U99" s="11">
        <v>183367650.02325612</v>
      </c>
      <c r="V99" s="11">
        <v>966476</v>
      </c>
      <c r="W99" s="11">
        <v>340226864</v>
      </c>
      <c r="X99" s="11">
        <v>195567453</v>
      </c>
      <c r="Y99" s="11">
        <v>2501733</v>
      </c>
      <c r="Z99" s="11">
        <v>60688359</v>
      </c>
      <c r="AA99" s="11">
        <v>3525046</v>
      </c>
      <c r="AB99" s="11">
        <v>45305316</v>
      </c>
      <c r="AC99" s="11">
        <v>32938205</v>
      </c>
      <c r="AD99" s="11">
        <v>65501800</v>
      </c>
      <c r="AE99" s="11">
        <v>6243747</v>
      </c>
      <c r="AF99" s="11">
        <v>58993900</v>
      </c>
      <c r="AG99" s="11">
        <v>280203757</v>
      </c>
      <c r="AH99" s="11">
        <v>13784549</v>
      </c>
      <c r="AI99" s="11">
        <f t="shared" si="16"/>
        <v>1956204743.803256</v>
      </c>
    </row>
    <row r="100" spans="1:35" x14ac:dyDescent="0.25">
      <c r="A100" s="29" t="s">
        <v>290</v>
      </c>
      <c r="B100" s="11">
        <v>664304</v>
      </c>
      <c r="C100" s="11">
        <v>799266</v>
      </c>
      <c r="D100" s="11">
        <v>30548700</v>
      </c>
      <c r="E100" s="11">
        <v>83580981</v>
      </c>
      <c r="F100" s="11">
        <v>23851111</v>
      </c>
      <c r="G100" s="11">
        <v>53479529</v>
      </c>
      <c r="H100" s="11">
        <v>822665</v>
      </c>
      <c r="I100" s="11">
        <v>66741573.270000003</v>
      </c>
      <c r="J100" s="11">
        <v>21831254</v>
      </c>
      <c r="K100" s="11">
        <v>9567801</v>
      </c>
      <c r="L100" s="11">
        <v>-83728631</v>
      </c>
      <c r="M100" s="11">
        <v>2873317</v>
      </c>
      <c r="N100" s="11">
        <v>180073743</v>
      </c>
      <c r="O100" s="11">
        <v>53183426</v>
      </c>
      <c r="P100" s="11">
        <v>2388665</v>
      </c>
      <c r="Q100" s="11">
        <v>10562318</v>
      </c>
      <c r="R100" s="11">
        <v>-17972535</v>
      </c>
      <c r="S100" s="11">
        <v>675384</v>
      </c>
      <c r="T100" s="11">
        <v>1252365</v>
      </c>
      <c r="U100" s="11">
        <v>178732748.37099996</v>
      </c>
      <c r="V100" s="11">
        <v>-854040</v>
      </c>
      <c r="W100" s="11">
        <v>329819744</v>
      </c>
      <c r="X100" s="11">
        <v>190513482</v>
      </c>
      <c r="Y100" s="11">
        <v>2195367</v>
      </c>
      <c r="Z100" s="11">
        <v>56841198</v>
      </c>
      <c r="AA100" s="11">
        <v>2625521</v>
      </c>
      <c r="AB100" s="11">
        <v>-42341818</v>
      </c>
      <c r="AC100" s="11">
        <v>29693796</v>
      </c>
      <c r="AD100" s="11">
        <v>62731539</v>
      </c>
      <c r="AE100" s="11">
        <v>5613924</v>
      </c>
      <c r="AF100" s="11">
        <v>53564450</v>
      </c>
      <c r="AG100" s="11">
        <v>265684702</v>
      </c>
      <c r="AH100" s="11">
        <v>12084521</v>
      </c>
      <c r="AI100" s="11">
        <f t="shared" si="16"/>
        <v>1588100370.6409998</v>
      </c>
    </row>
    <row r="101" spans="1:35" x14ac:dyDescent="0.25">
      <c r="A101" s="29" t="s">
        <v>285</v>
      </c>
      <c r="B101" s="11">
        <v>241106</v>
      </c>
      <c r="C101" s="11">
        <v>727739</v>
      </c>
      <c r="D101" s="11">
        <v>289815</v>
      </c>
      <c r="E101" s="11">
        <v>12377311</v>
      </c>
      <c r="F101" s="11">
        <v>2806566</v>
      </c>
      <c r="G101" s="11">
        <v>5098984</v>
      </c>
      <c r="H101" s="11">
        <v>380575</v>
      </c>
      <c r="I101" s="11">
        <v>3574543.85</v>
      </c>
      <c r="J101" s="11">
        <v>3183752</v>
      </c>
      <c r="K101" s="11">
        <v>2661347</v>
      </c>
      <c r="L101" s="11">
        <v>7709136</v>
      </c>
      <c r="M101" s="11">
        <v>2342704</v>
      </c>
      <c r="N101" s="11">
        <v>16216592</v>
      </c>
      <c r="O101" s="11">
        <v>8184377</v>
      </c>
      <c r="P101" s="11">
        <v>475919</v>
      </c>
      <c r="Q101" s="11">
        <v>1354927</v>
      </c>
      <c r="R101" s="11">
        <v>1572194</v>
      </c>
      <c r="S101" s="11">
        <v>424160</v>
      </c>
      <c r="T101" s="11">
        <v>1099846</v>
      </c>
      <c r="U101" s="11">
        <v>15857193.533602148</v>
      </c>
      <c r="V101" s="11">
        <v>143831</v>
      </c>
      <c r="W101" s="11">
        <v>39882453</v>
      </c>
      <c r="X101" s="11">
        <v>16024389</v>
      </c>
      <c r="Y101" s="11">
        <v>323836</v>
      </c>
      <c r="Z101" s="11">
        <v>6011461</v>
      </c>
      <c r="AA101" s="11">
        <v>1730176</v>
      </c>
      <c r="AB101" s="11">
        <v>3511721</v>
      </c>
      <c r="AC101" s="11">
        <v>6545893</v>
      </c>
      <c r="AD101" s="11">
        <v>3711589</v>
      </c>
      <c r="AE101" s="11">
        <v>5435620</v>
      </c>
      <c r="AF101" s="11">
        <v>7621093</v>
      </c>
      <c r="AG101" s="11">
        <v>20639261</v>
      </c>
      <c r="AH101" s="11">
        <v>2396680</v>
      </c>
      <c r="AI101" s="11">
        <f t="shared" si="16"/>
        <v>200556790.38360214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8" customWidth="1"/>
    <col min="2" max="34" width="16" style="8" customWidth="1"/>
    <col min="35" max="35" width="16" style="9" customWidth="1"/>
    <col min="36" max="16384" width="9.140625" style="8"/>
  </cols>
  <sheetData>
    <row r="1" spans="1:35" ht="18.75" x14ac:dyDescent="0.3">
      <c r="A1" s="10" t="s">
        <v>227</v>
      </c>
    </row>
    <row r="2" spans="1:35" x14ac:dyDescent="0.25">
      <c r="A2" s="31" t="s">
        <v>44</v>
      </c>
    </row>
    <row r="3" spans="1:35" x14ac:dyDescent="0.25">
      <c r="A3" s="32" t="s">
        <v>228</v>
      </c>
    </row>
    <row r="4" spans="1:35" x14ac:dyDescent="0.25">
      <c r="A4" s="4" t="s">
        <v>0</v>
      </c>
      <c r="B4" s="73" t="s">
        <v>1</v>
      </c>
      <c r="C4" s="73" t="s">
        <v>2</v>
      </c>
      <c r="D4" s="73" t="s">
        <v>3</v>
      </c>
      <c r="E4" s="73" t="s">
        <v>4</v>
      </c>
      <c r="F4" s="73" t="s">
        <v>5</v>
      </c>
      <c r="G4" s="73" t="s">
        <v>6</v>
      </c>
      <c r="H4" s="73" t="s">
        <v>7</v>
      </c>
      <c r="I4" s="73" t="s">
        <v>8</v>
      </c>
      <c r="J4" s="73" t="s">
        <v>9</v>
      </c>
      <c r="K4" s="73" t="s">
        <v>10</v>
      </c>
      <c r="L4" s="73" t="s">
        <v>11</v>
      </c>
      <c r="M4" s="73" t="s">
        <v>293</v>
      </c>
      <c r="N4" s="73" t="s">
        <v>12</v>
      </c>
      <c r="O4" s="73" t="s">
        <v>13</v>
      </c>
      <c r="P4" s="73" t="s">
        <v>14</v>
      </c>
      <c r="Q4" s="73" t="s">
        <v>15</v>
      </c>
      <c r="R4" s="73" t="s">
        <v>16</v>
      </c>
      <c r="S4" s="73" t="s">
        <v>295</v>
      </c>
      <c r="T4" s="73" t="s">
        <v>17</v>
      </c>
      <c r="U4" s="73" t="s">
        <v>18</v>
      </c>
      <c r="V4" s="73" t="s">
        <v>294</v>
      </c>
      <c r="W4" s="73" t="s">
        <v>19</v>
      </c>
      <c r="X4" s="73" t="s">
        <v>20</v>
      </c>
      <c r="Y4" s="73" t="s">
        <v>21</v>
      </c>
      <c r="Z4" s="73" t="s">
        <v>22</v>
      </c>
      <c r="AA4" s="73" t="s">
        <v>23</v>
      </c>
      <c r="AB4" s="73" t="s">
        <v>24</v>
      </c>
      <c r="AC4" s="73" t="s">
        <v>25</v>
      </c>
      <c r="AD4" s="73" t="s">
        <v>26</v>
      </c>
      <c r="AE4" s="73" t="s">
        <v>27</v>
      </c>
      <c r="AF4" s="73" t="s">
        <v>28</v>
      </c>
      <c r="AG4" s="72" t="s">
        <v>29</v>
      </c>
      <c r="AH4" s="96" t="s">
        <v>30</v>
      </c>
      <c r="AI4" s="46" t="s">
        <v>31</v>
      </c>
    </row>
    <row r="5" spans="1:35" x14ac:dyDescent="0.25">
      <c r="A5" s="33" t="s">
        <v>237</v>
      </c>
      <c r="B5" s="11"/>
      <c r="C5" s="11"/>
      <c r="D5" s="11"/>
      <c r="E5" s="11">
        <v>385670</v>
      </c>
      <c r="F5" s="11">
        <v>110463</v>
      </c>
      <c r="G5" s="11">
        <v>85016</v>
      </c>
      <c r="H5" s="11">
        <v>4279</v>
      </c>
      <c r="I5" s="11"/>
      <c r="J5" s="11">
        <v>132673</v>
      </c>
      <c r="K5" s="11">
        <v>65060</v>
      </c>
      <c r="L5" s="11">
        <v>374462</v>
      </c>
      <c r="M5" s="11"/>
      <c r="N5" s="11">
        <v>639348</v>
      </c>
      <c r="O5" s="11">
        <v>306524</v>
      </c>
      <c r="P5" s="11">
        <v>5642</v>
      </c>
      <c r="Q5" s="11">
        <v>31049</v>
      </c>
      <c r="R5" s="11">
        <v>23112</v>
      </c>
      <c r="S5" s="11"/>
      <c r="T5" s="11"/>
      <c r="U5" s="11">
        <v>359925.35600000003</v>
      </c>
      <c r="V5" s="11">
        <v>890</v>
      </c>
      <c r="W5" s="11">
        <v>1663978</v>
      </c>
      <c r="X5" s="11">
        <v>463905</v>
      </c>
      <c r="Y5" s="11">
        <v>3576</v>
      </c>
      <c r="Z5" s="11">
        <v>338155</v>
      </c>
      <c r="AA5" s="11"/>
      <c r="AB5" s="11">
        <v>131650</v>
      </c>
      <c r="AC5" s="11">
        <v>365259</v>
      </c>
      <c r="AD5" s="11">
        <v>10564</v>
      </c>
      <c r="AE5" s="11"/>
      <c r="AF5" s="11">
        <v>465572</v>
      </c>
      <c r="AG5" s="11">
        <v>485884</v>
      </c>
      <c r="AH5" s="11">
        <v>47983</v>
      </c>
      <c r="AI5" s="12">
        <f>SUM(B5:AH5)</f>
        <v>6500639.3560000006</v>
      </c>
    </row>
    <row r="6" spans="1:35" x14ac:dyDescent="0.25">
      <c r="A6" s="33" t="s">
        <v>288</v>
      </c>
      <c r="B6" s="11"/>
      <c r="C6" s="11"/>
      <c r="D6" s="11"/>
      <c r="E6" s="11">
        <v>16580</v>
      </c>
      <c r="F6" s="11">
        <v>6672</v>
      </c>
      <c r="G6" s="11">
        <v>695</v>
      </c>
      <c r="H6" s="11">
        <v>3964</v>
      </c>
      <c r="I6" s="11"/>
      <c r="J6" s="11">
        <v>24815</v>
      </c>
      <c r="K6" s="11">
        <v>222138</v>
      </c>
      <c r="L6" s="11">
        <v>35694</v>
      </c>
      <c r="M6" s="11"/>
      <c r="N6" s="11">
        <v>42630</v>
      </c>
      <c r="O6" s="11">
        <v>20268</v>
      </c>
      <c r="P6" s="11">
        <v>540</v>
      </c>
      <c r="Q6" s="11">
        <v>370</v>
      </c>
      <c r="R6" s="11">
        <v>21076</v>
      </c>
      <c r="S6" s="11"/>
      <c r="T6" s="11"/>
      <c r="U6" s="11">
        <v>60315.326000000001</v>
      </c>
      <c r="V6" s="11">
        <v>136</v>
      </c>
      <c r="W6" s="11">
        <v>570998</v>
      </c>
      <c r="X6" s="11">
        <v>12630</v>
      </c>
      <c r="Y6" s="11">
        <v>1368</v>
      </c>
      <c r="Z6" s="11">
        <v>12189</v>
      </c>
      <c r="AA6" s="11"/>
      <c r="AB6" s="11">
        <v>23303</v>
      </c>
      <c r="AC6" s="11">
        <v>867</v>
      </c>
      <c r="AD6" s="11">
        <v>2511</v>
      </c>
      <c r="AE6" s="11"/>
      <c r="AF6" s="11">
        <v>34201</v>
      </c>
      <c r="AG6" s="11">
        <v>48166</v>
      </c>
      <c r="AH6" s="11">
        <v>664</v>
      </c>
      <c r="AI6" s="12">
        <f>SUM(B6:AH6)</f>
        <v>1162790.3259999999</v>
      </c>
    </row>
    <row r="7" spans="1:35" x14ac:dyDescent="0.25">
      <c r="A7" s="33" t="s">
        <v>289</v>
      </c>
      <c r="B7" s="11"/>
      <c r="C7" s="11"/>
      <c r="D7" s="11"/>
      <c r="E7" s="11">
        <v>1013454</v>
      </c>
      <c r="F7" s="11">
        <v>165328</v>
      </c>
      <c r="G7" s="11">
        <v>118932</v>
      </c>
      <c r="H7" s="11">
        <v>9503</v>
      </c>
      <c r="I7" s="11"/>
      <c r="J7" s="11">
        <v>154521</v>
      </c>
      <c r="K7" s="11">
        <v>331231</v>
      </c>
      <c r="L7" s="11">
        <v>-678391</v>
      </c>
      <c r="M7" s="11"/>
      <c r="N7" s="11">
        <v>918558</v>
      </c>
      <c r="O7" s="11">
        <v>476764</v>
      </c>
      <c r="P7" s="11">
        <v>5604</v>
      </c>
      <c r="Q7" s="11">
        <v>46632</v>
      </c>
      <c r="R7" s="11">
        <v>-62196</v>
      </c>
      <c r="S7" s="11"/>
      <c r="T7" s="11"/>
      <c r="U7" s="11">
        <v>115517.837</v>
      </c>
      <c r="V7" s="11">
        <v>5119</v>
      </c>
      <c r="W7" s="11">
        <v>691727</v>
      </c>
      <c r="X7" s="11">
        <v>313335</v>
      </c>
      <c r="Y7" s="11">
        <v>4054</v>
      </c>
      <c r="Z7" s="11">
        <v>319672</v>
      </c>
      <c r="AA7" s="11"/>
      <c r="AB7" s="11">
        <v>-170169</v>
      </c>
      <c r="AC7" s="11">
        <v>488522</v>
      </c>
      <c r="AD7" s="11">
        <v>5300</v>
      </c>
      <c r="AE7" s="11"/>
      <c r="AF7" s="11">
        <v>886308</v>
      </c>
      <c r="AG7" s="11">
        <v>196024</v>
      </c>
      <c r="AH7" s="11">
        <v>68114</v>
      </c>
      <c r="AI7" s="12">
        <f>SUM(B7:AH7)</f>
        <v>5423463.8369999994</v>
      </c>
    </row>
    <row r="8" spans="1:35" x14ac:dyDescent="0.25">
      <c r="A8" s="33" t="s">
        <v>238</v>
      </c>
      <c r="B8" s="11"/>
      <c r="C8" s="11"/>
      <c r="D8" s="11"/>
      <c r="E8" s="11">
        <v>-611204</v>
      </c>
      <c r="F8" s="11">
        <v>-48193</v>
      </c>
      <c r="G8" s="11">
        <v>-33221</v>
      </c>
      <c r="H8" s="11">
        <v>-1260</v>
      </c>
      <c r="I8" s="11"/>
      <c r="J8" s="11">
        <v>2968</v>
      </c>
      <c r="K8" s="11">
        <v>-44034</v>
      </c>
      <c r="L8" s="11">
        <v>-268235</v>
      </c>
      <c r="M8" s="11"/>
      <c r="N8" s="11">
        <v>-236580</v>
      </c>
      <c r="O8" s="11">
        <v>-149972</v>
      </c>
      <c r="P8" s="11">
        <v>578</v>
      </c>
      <c r="Q8" s="11">
        <v>-15213</v>
      </c>
      <c r="R8" s="11">
        <v>-18008</v>
      </c>
      <c r="S8" s="11"/>
      <c r="T8" s="11"/>
      <c r="U8" s="11">
        <v>304721.84500000003</v>
      </c>
      <c r="V8" s="11">
        <v>6145</v>
      </c>
      <c r="W8" s="11">
        <v>1543249</v>
      </c>
      <c r="X8" s="11">
        <v>163200</v>
      </c>
      <c r="Y8" s="11">
        <v>890</v>
      </c>
      <c r="Z8" s="11">
        <v>30672</v>
      </c>
      <c r="AA8" s="11"/>
      <c r="AB8" s="11">
        <v>-15216</v>
      </c>
      <c r="AC8" s="11">
        <v>-122396</v>
      </c>
      <c r="AD8" s="11">
        <v>7774</v>
      </c>
      <c r="AE8" s="11"/>
      <c r="AF8" s="11">
        <v>-386535</v>
      </c>
      <c r="AG8" s="11">
        <v>338026</v>
      </c>
      <c r="AH8" s="11">
        <v>-19467</v>
      </c>
      <c r="AI8" s="12">
        <f>SUM(B8:AH8)</f>
        <v>428689.84499999997</v>
      </c>
    </row>
    <row r="9" spans="1:35" x14ac:dyDescent="0.25">
      <c r="A9" s="31"/>
    </row>
    <row r="10" spans="1:35" x14ac:dyDescent="0.25">
      <c r="A10" s="32" t="s">
        <v>229</v>
      </c>
    </row>
    <row r="11" spans="1:35" x14ac:dyDescent="0.25">
      <c r="A11" s="4" t="s">
        <v>0</v>
      </c>
      <c r="B11" s="73" t="s">
        <v>1</v>
      </c>
      <c r="C11" s="73" t="s">
        <v>2</v>
      </c>
      <c r="D11" s="73" t="s">
        <v>3</v>
      </c>
      <c r="E11" s="73" t="s">
        <v>4</v>
      </c>
      <c r="F11" s="73" t="s">
        <v>5</v>
      </c>
      <c r="G11" s="73" t="s">
        <v>6</v>
      </c>
      <c r="H11" s="73" t="s">
        <v>7</v>
      </c>
      <c r="I11" s="73" t="s">
        <v>8</v>
      </c>
      <c r="J11" s="73" t="s">
        <v>9</v>
      </c>
      <c r="K11" s="73" t="s">
        <v>10</v>
      </c>
      <c r="L11" s="73" t="s">
        <v>11</v>
      </c>
      <c r="M11" s="73" t="s">
        <v>293</v>
      </c>
      <c r="N11" s="73" t="s">
        <v>12</v>
      </c>
      <c r="O11" s="73" t="s">
        <v>13</v>
      </c>
      <c r="P11" s="73" t="s">
        <v>14</v>
      </c>
      <c r="Q11" s="73" t="s">
        <v>15</v>
      </c>
      <c r="R11" s="73" t="s">
        <v>16</v>
      </c>
      <c r="S11" s="73" t="s">
        <v>295</v>
      </c>
      <c r="T11" s="73" t="s">
        <v>17</v>
      </c>
      <c r="U11" s="73" t="s">
        <v>18</v>
      </c>
      <c r="V11" s="73" t="s">
        <v>294</v>
      </c>
      <c r="W11" s="73" t="s">
        <v>19</v>
      </c>
      <c r="X11" s="73" t="s">
        <v>20</v>
      </c>
      <c r="Y11" s="73" t="s">
        <v>21</v>
      </c>
      <c r="Z11" s="73" t="s">
        <v>22</v>
      </c>
      <c r="AA11" s="73" t="s">
        <v>23</v>
      </c>
      <c r="AB11" s="73" t="s">
        <v>24</v>
      </c>
      <c r="AC11" s="73" t="s">
        <v>25</v>
      </c>
      <c r="AD11" s="73" t="s">
        <v>26</v>
      </c>
      <c r="AE11" s="73" t="s">
        <v>27</v>
      </c>
      <c r="AF11" s="73" t="s">
        <v>28</v>
      </c>
      <c r="AG11" s="72" t="s">
        <v>29</v>
      </c>
      <c r="AH11" s="96" t="s">
        <v>30</v>
      </c>
      <c r="AI11" s="46" t="s">
        <v>31</v>
      </c>
    </row>
    <row r="12" spans="1:35" x14ac:dyDescent="0.25">
      <c r="A12" s="33" t="s">
        <v>237</v>
      </c>
      <c r="B12" s="11"/>
      <c r="C12" s="11"/>
      <c r="D12" s="11"/>
      <c r="E12" s="11">
        <v>40711</v>
      </c>
      <c r="F12" s="11">
        <v>26484</v>
      </c>
      <c r="G12" s="11">
        <v>15361</v>
      </c>
      <c r="H12" s="11">
        <v>402</v>
      </c>
      <c r="I12" s="11"/>
      <c r="J12" s="11">
        <v>23233</v>
      </c>
      <c r="K12" s="11">
        <v>9</v>
      </c>
      <c r="L12" s="11">
        <v>38504</v>
      </c>
      <c r="M12" s="11"/>
      <c r="N12" s="11">
        <v>121216</v>
      </c>
      <c r="O12" s="11">
        <v>37271</v>
      </c>
      <c r="P12" s="11"/>
      <c r="Q12" s="11">
        <v>10303</v>
      </c>
      <c r="R12" s="11">
        <v>3372</v>
      </c>
      <c r="S12" s="11"/>
      <c r="T12" s="11"/>
      <c r="U12" s="11">
        <v>43833.593000000001</v>
      </c>
      <c r="V12" s="11"/>
      <c r="W12" s="11">
        <v>177456</v>
      </c>
      <c r="X12" s="11">
        <v>65136</v>
      </c>
      <c r="Y12" s="11">
        <v>127</v>
      </c>
      <c r="Z12" s="11">
        <v>31397</v>
      </c>
      <c r="AA12" s="11"/>
      <c r="AB12" s="11">
        <v>11750</v>
      </c>
      <c r="AC12" s="11">
        <v>14021</v>
      </c>
      <c r="AD12" s="11">
        <v>281</v>
      </c>
      <c r="AE12" s="11"/>
      <c r="AF12" s="11">
        <v>128154</v>
      </c>
      <c r="AG12" s="11">
        <v>61240</v>
      </c>
      <c r="AH12" s="11">
        <v>2871</v>
      </c>
      <c r="AI12" s="12">
        <f>SUM(B12:AH12)</f>
        <v>853132.59299999999</v>
      </c>
    </row>
    <row r="13" spans="1:35" x14ac:dyDescent="0.25">
      <c r="A13" s="33" t="s">
        <v>288</v>
      </c>
      <c r="B13" s="11"/>
      <c r="C13" s="11"/>
      <c r="D13" s="11"/>
      <c r="E13" s="11"/>
      <c r="F13" s="11">
        <v>517</v>
      </c>
      <c r="G13" s="11"/>
      <c r="H13" s="11">
        <v>22</v>
      </c>
      <c r="I13" s="11"/>
      <c r="J13" s="11">
        <v>1217</v>
      </c>
      <c r="K13" s="11">
        <v>337</v>
      </c>
      <c r="L13" s="11">
        <v>1190</v>
      </c>
      <c r="M13" s="11"/>
      <c r="N13" s="11">
        <v>8562</v>
      </c>
      <c r="O13" s="11">
        <v>157</v>
      </c>
      <c r="P13" s="11"/>
      <c r="Q13" s="11"/>
      <c r="R13" s="11"/>
      <c r="S13" s="11"/>
      <c r="T13" s="11"/>
      <c r="U13" s="11">
        <v>5871.0689999999995</v>
      </c>
      <c r="V13" s="11"/>
      <c r="W13" s="11">
        <v>11170</v>
      </c>
      <c r="X13" s="11">
        <v>3992</v>
      </c>
      <c r="Y13" s="11"/>
      <c r="Z13" s="11"/>
      <c r="AA13" s="11"/>
      <c r="AB13" s="11">
        <v>44</v>
      </c>
      <c r="AC13" s="11">
        <v>171</v>
      </c>
      <c r="AD13" s="11"/>
      <c r="AE13" s="11"/>
      <c r="AF13" s="11">
        <v>7742</v>
      </c>
      <c r="AG13" s="11">
        <v>254</v>
      </c>
      <c r="AH13" s="11"/>
      <c r="AI13" s="12">
        <f>SUM(B13:AH13)</f>
        <v>41246.069000000003</v>
      </c>
    </row>
    <row r="14" spans="1:35" x14ac:dyDescent="0.25">
      <c r="A14" s="33" t="s">
        <v>289</v>
      </c>
      <c r="B14" s="11"/>
      <c r="C14" s="11"/>
      <c r="D14" s="11"/>
      <c r="E14" s="11">
        <v>16997</v>
      </c>
      <c r="F14" s="11">
        <v>6299</v>
      </c>
      <c r="G14" s="11">
        <v>18497</v>
      </c>
      <c r="H14" s="11">
        <v>631</v>
      </c>
      <c r="I14" s="11"/>
      <c r="J14" s="11">
        <v>4361</v>
      </c>
      <c r="K14" s="11">
        <v>81</v>
      </c>
      <c r="L14" s="11">
        <f>-2933-9654</f>
        <v>-12587</v>
      </c>
      <c r="M14" s="11"/>
      <c r="N14" s="11">
        <v>20554</v>
      </c>
      <c r="O14" s="11">
        <v>25638</v>
      </c>
      <c r="P14" s="11"/>
      <c r="Q14" s="11">
        <v>519</v>
      </c>
      <c r="R14" s="11">
        <v>-5832</v>
      </c>
      <c r="S14" s="11"/>
      <c r="T14" s="11"/>
      <c r="U14" s="11">
        <v>20111.944</v>
      </c>
      <c r="V14" s="11"/>
      <c r="W14" s="11">
        <v>46556</v>
      </c>
      <c r="X14" s="11">
        <v>32375</v>
      </c>
      <c r="Y14" s="11">
        <v>6</v>
      </c>
      <c r="Z14" s="11">
        <v>44547</v>
      </c>
      <c r="AA14" s="11"/>
      <c r="AB14" s="11">
        <v>-9160</v>
      </c>
      <c r="AC14" s="11">
        <v>847</v>
      </c>
      <c r="AD14" s="11">
        <v>26</v>
      </c>
      <c r="AE14" s="11"/>
      <c r="AF14" s="11">
        <v>13398</v>
      </c>
      <c r="AG14" s="11">
        <v>20678</v>
      </c>
      <c r="AH14" s="11">
        <f>3037+4767</f>
        <v>7804</v>
      </c>
      <c r="AI14" s="12">
        <f>SUM(B14:AH14)</f>
        <v>252346.94400000002</v>
      </c>
    </row>
    <row r="15" spans="1:35" x14ac:dyDescent="0.25">
      <c r="A15" s="33" t="s">
        <v>238</v>
      </c>
      <c r="B15" s="11"/>
      <c r="C15" s="11"/>
      <c r="D15" s="11"/>
      <c r="E15" s="11">
        <v>23714</v>
      </c>
      <c r="F15" s="11">
        <v>20702</v>
      </c>
      <c r="G15" s="11">
        <v>-3136</v>
      </c>
      <c r="H15" s="11">
        <v>-207</v>
      </c>
      <c r="I15" s="11"/>
      <c r="J15" s="11">
        <v>20090</v>
      </c>
      <c r="K15" s="11">
        <v>265</v>
      </c>
      <c r="L15" s="11">
        <f>-2933+30040</f>
        <v>27107</v>
      </c>
      <c r="M15" s="11"/>
      <c r="N15" s="11">
        <v>109224</v>
      </c>
      <c r="O15" s="11">
        <v>11790</v>
      </c>
      <c r="P15" s="11"/>
      <c r="Q15" s="11">
        <v>9784</v>
      </c>
      <c r="R15" s="11">
        <v>-2460</v>
      </c>
      <c r="S15" s="11"/>
      <c r="T15" s="11"/>
      <c r="U15" s="11">
        <v>29592.717999999997</v>
      </c>
      <c r="V15" s="11"/>
      <c r="W15" s="11">
        <v>142070</v>
      </c>
      <c r="X15" s="11">
        <v>36753</v>
      </c>
      <c r="Y15" s="11">
        <v>121</v>
      </c>
      <c r="Z15" s="11">
        <v>-13150</v>
      </c>
      <c r="AA15" s="11"/>
      <c r="AB15" s="11">
        <v>2634</v>
      </c>
      <c r="AC15" s="11">
        <v>13345</v>
      </c>
      <c r="AD15" s="11">
        <v>255</v>
      </c>
      <c r="AE15" s="11"/>
      <c r="AF15" s="11">
        <v>122498</v>
      </c>
      <c r="AG15" s="11">
        <v>40816</v>
      </c>
      <c r="AH15" s="11">
        <f>-3037-1896</f>
        <v>-4933</v>
      </c>
      <c r="AI15" s="12">
        <f>SUM(B15:AH15)</f>
        <v>586874.71799999999</v>
      </c>
    </row>
    <row r="16" spans="1:35" x14ac:dyDescent="0.25">
      <c r="A16" s="31"/>
    </row>
    <row r="17" spans="1:35" x14ac:dyDescent="0.25">
      <c r="A17" s="32" t="s">
        <v>230</v>
      </c>
    </row>
    <row r="18" spans="1:35" x14ac:dyDescent="0.25">
      <c r="A18" s="4" t="s">
        <v>0</v>
      </c>
      <c r="B18" s="73" t="s">
        <v>1</v>
      </c>
      <c r="C18" s="73" t="s">
        <v>2</v>
      </c>
      <c r="D18" s="73" t="s">
        <v>3</v>
      </c>
      <c r="E18" s="73" t="s">
        <v>4</v>
      </c>
      <c r="F18" s="73" t="s">
        <v>5</v>
      </c>
      <c r="G18" s="73" t="s">
        <v>6</v>
      </c>
      <c r="H18" s="73" t="s">
        <v>7</v>
      </c>
      <c r="I18" s="73" t="s">
        <v>8</v>
      </c>
      <c r="J18" s="73" t="s">
        <v>9</v>
      </c>
      <c r="K18" s="73" t="s">
        <v>10</v>
      </c>
      <c r="L18" s="73" t="s">
        <v>11</v>
      </c>
      <c r="M18" s="73" t="s">
        <v>293</v>
      </c>
      <c r="N18" s="73" t="s">
        <v>12</v>
      </c>
      <c r="O18" s="73" t="s">
        <v>13</v>
      </c>
      <c r="P18" s="73" t="s">
        <v>14</v>
      </c>
      <c r="Q18" s="73" t="s">
        <v>15</v>
      </c>
      <c r="R18" s="73" t="s">
        <v>16</v>
      </c>
      <c r="S18" s="73" t="s">
        <v>295</v>
      </c>
      <c r="T18" s="73" t="s">
        <v>17</v>
      </c>
      <c r="U18" s="73" t="s">
        <v>18</v>
      </c>
      <c r="V18" s="73" t="s">
        <v>294</v>
      </c>
      <c r="W18" s="73" t="s">
        <v>19</v>
      </c>
      <c r="X18" s="73" t="s">
        <v>20</v>
      </c>
      <c r="Y18" s="73" t="s">
        <v>21</v>
      </c>
      <c r="Z18" s="73" t="s">
        <v>22</v>
      </c>
      <c r="AA18" s="73" t="s">
        <v>23</v>
      </c>
      <c r="AB18" s="73" t="s">
        <v>24</v>
      </c>
      <c r="AC18" s="73" t="s">
        <v>25</v>
      </c>
      <c r="AD18" s="73" t="s">
        <v>26</v>
      </c>
      <c r="AE18" s="73" t="s">
        <v>27</v>
      </c>
      <c r="AF18" s="73" t="s">
        <v>28</v>
      </c>
      <c r="AG18" s="72" t="s">
        <v>29</v>
      </c>
      <c r="AH18" s="96" t="s">
        <v>30</v>
      </c>
      <c r="AI18" s="46" t="s">
        <v>31</v>
      </c>
    </row>
    <row r="19" spans="1:35" x14ac:dyDescent="0.25">
      <c r="A19" s="33" t="s">
        <v>237</v>
      </c>
      <c r="B19" s="11">
        <v>7352</v>
      </c>
      <c r="C19" s="11"/>
      <c r="D19" s="11"/>
      <c r="E19" s="11">
        <v>613515</v>
      </c>
      <c r="F19" s="11">
        <v>210870</v>
      </c>
      <c r="G19" s="11">
        <v>350880</v>
      </c>
      <c r="H19" s="11">
        <v>21752</v>
      </c>
      <c r="I19" s="11"/>
      <c r="J19" s="11">
        <v>190050</v>
      </c>
      <c r="K19" s="11">
        <v>96109</v>
      </c>
      <c r="L19" s="11">
        <f>54018+440166</f>
        <v>494184</v>
      </c>
      <c r="M19" s="11"/>
      <c r="N19" s="11">
        <v>1175221</v>
      </c>
      <c r="O19" s="11">
        <v>647496</v>
      </c>
      <c r="P19" s="11">
        <v>44542</v>
      </c>
      <c r="Q19" s="11">
        <f>2348+173333</f>
        <v>175681</v>
      </c>
      <c r="R19" s="11">
        <v>95429</v>
      </c>
      <c r="S19" s="11"/>
      <c r="T19" s="11"/>
      <c r="U19" s="11">
        <v>684761.049</v>
      </c>
      <c r="V19" s="11">
        <v>5879</v>
      </c>
      <c r="W19" s="11">
        <v>2256112</v>
      </c>
      <c r="X19" s="11">
        <v>407789</v>
      </c>
      <c r="Y19" s="11">
        <f>1046+16185</f>
        <v>17231</v>
      </c>
      <c r="Z19" s="11">
        <v>423764</v>
      </c>
      <c r="AA19" s="11"/>
      <c r="AB19" s="11">
        <v>390554</v>
      </c>
      <c r="AC19" s="11">
        <v>223932</v>
      </c>
      <c r="AD19" s="11">
        <v>234350</v>
      </c>
      <c r="AE19" s="11"/>
      <c r="AF19" s="11">
        <v>705089</v>
      </c>
      <c r="AG19" s="11">
        <v>795462</v>
      </c>
      <c r="AH19" s="11">
        <f>1823+175652</f>
        <v>177475</v>
      </c>
      <c r="AI19" s="12">
        <f>SUM(B19:AH19)</f>
        <v>10445479.048999999</v>
      </c>
    </row>
    <row r="20" spans="1:35" x14ac:dyDescent="0.25">
      <c r="A20" s="33" t="s">
        <v>288</v>
      </c>
      <c r="B20" s="11"/>
      <c r="C20" s="11"/>
      <c r="D20" s="11"/>
      <c r="E20" s="11"/>
      <c r="F20" s="11"/>
      <c r="G20" s="11"/>
      <c r="H20" s="11"/>
      <c r="I20" s="11"/>
      <c r="J20" s="11"/>
      <c r="K20" s="11">
        <v>12276</v>
      </c>
      <c r="L20" s="11"/>
      <c r="M20" s="11"/>
      <c r="N20" s="11">
        <v>5882</v>
      </c>
      <c r="O20" s="11"/>
      <c r="P20" s="11"/>
      <c r="Q20" s="11"/>
      <c r="R20" s="11"/>
      <c r="S20" s="11"/>
      <c r="T20" s="11"/>
      <c r="U20" s="11">
        <v>15.35</v>
      </c>
      <c r="V20" s="11"/>
      <c r="W20" s="11">
        <v>938</v>
      </c>
      <c r="X20" s="11">
        <v>14</v>
      </c>
      <c r="Y20" s="11"/>
      <c r="Z20" s="11"/>
      <c r="AA20" s="11"/>
      <c r="AB20" s="11"/>
      <c r="AC20" s="11"/>
      <c r="AD20" s="11"/>
      <c r="AE20" s="11"/>
      <c r="AF20" s="11"/>
      <c r="AG20" s="11">
        <v>0</v>
      </c>
      <c r="AH20" s="11"/>
      <c r="AI20" s="12">
        <f>SUM(B20:AH20)</f>
        <v>19125.349999999999</v>
      </c>
    </row>
    <row r="21" spans="1:35" x14ac:dyDescent="0.25">
      <c r="A21" s="33" t="s">
        <v>289</v>
      </c>
      <c r="B21" s="11">
        <v>25357</v>
      </c>
      <c r="C21" s="11"/>
      <c r="D21" s="11"/>
      <c r="E21" s="11">
        <v>505760</v>
      </c>
      <c r="F21" s="11">
        <v>10842</v>
      </c>
      <c r="G21" s="11">
        <v>275433</v>
      </c>
      <c r="H21" s="11">
        <v>998</v>
      </c>
      <c r="I21" s="11"/>
      <c r="J21" s="11">
        <v>11600</v>
      </c>
      <c r="K21" s="11">
        <v>14697</v>
      </c>
      <c r="L21" s="11">
        <f>-307230-19195</f>
        <v>-326425</v>
      </c>
      <c r="M21" s="11"/>
      <c r="N21" s="11">
        <v>382829</v>
      </c>
      <c r="O21" s="11">
        <v>193579</v>
      </c>
      <c r="P21" s="11">
        <v>2559</v>
      </c>
      <c r="Q21" s="11">
        <f>1706+6351</f>
        <v>8057</v>
      </c>
      <c r="R21" s="11">
        <v>-183191</v>
      </c>
      <c r="S21" s="11"/>
      <c r="T21" s="11"/>
      <c r="U21" s="11">
        <v>83142.608000000007</v>
      </c>
      <c r="V21" s="11">
        <v>-329</v>
      </c>
      <c r="W21" s="11">
        <v>69694</v>
      </c>
      <c r="X21" s="11">
        <v>29932</v>
      </c>
      <c r="Y21" s="11">
        <f>143+902</f>
        <v>1045</v>
      </c>
      <c r="Z21" s="11">
        <v>495037</v>
      </c>
      <c r="AA21" s="11"/>
      <c r="AB21" s="11">
        <v>-98771</v>
      </c>
      <c r="AC21" s="11">
        <v>113051</v>
      </c>
      <c r="AD21" s="11">
        <v>16099</v>
      </c>
      <c r="AE21" s="11"/>
      <c r="AF21" s="11">
        <v>257162</v>
      </c>
      <c r="AG21" s="11">
        <v>43817</v>
      </c>
      <c r="AH21" s="11">
        <f>1984+6614</f>
        <v>8598</v>
      </c>
      <c r="AI21" s="12">
        <f>SUM(B21:AH21)</f>
        <v>1940572.608</v>
      </c>
    </row>
    <row r="22" spans="1:35" x14ac:dyDescent="0.25">
      <c r="A22" s="33" t="s">
        <v>238</v>
      </c>
      <c r="B22" s="11">
        <v>-18005</v>
      </c>
      <c r="C22" s="11"/>
      <c r="D22" s="11"/>
      <c r="E22" s="11">
        <v>107755</v>
      </c>
      <c r="F22" s="11">
        <v>200027</v>
      </c>
      <c r="G22" s="11">
        <v>75447</v>
      </c>
      <c r="H22" s="11">
        <v>20754</v>
      </c>
      <c r="I22" s="11"/>
      <c r="J22" s="11">
        <v>178449</v>
      </c>
      <c r="K22" s="11">
        <v>93688</v>
      </c>
      <c r="L22" s="11">
        <f>-253212+420971</f>
        <v>167759</v>
      </c>
      <c r="M22" s="11"/>
      <c r="N22" s="11">
        <v>798274</v>
      </c>
      <c r="O22" s="11">
        <v>453917</v>
      </c>
      <c r="P22" s="11">
        <v>41983</v>
      </c>
      <c r="Q22" s="11">
        <f>643+166982</f>
        <v>167625</v>
      </c>
      <c r="R22" s="11">
        <v>-87762</v>
      </c>
      <c r="S22" s="11"/>
      <c r="T22" s="11"/>
      <c r="U22" s="11">
        <v>601633.79099999997</v>
      </c>
      <c r="V22" s="11">
        <v>2550</v>
      </c>
      <c r="W22" s="11">
        <v>2187356</v>
      </c>
      <c r="X22" s="11">
        <v>377871</v>
      </c>
      <c r="Y22" s="11">
        <f>902+15283</f>
        <v>16185</v>
      </c>
      <c r="Z22" s="11">
        <v>-71273</v>
      </c>
      <c r="AA22" s="11"/>
      <c r="AB22" s="11">
        <v>291783</v>
      </c>
      <c r="AC22" s="11">
        <v>110881</v>
      </c>
      <c r="AD22" s="11">
        <v>218251</v>
      </c>
      <c r="AE22" s="11"/>
      <c r="AF22" s="11">
        <v>447927</v>
      </c>
      <c r="AG22" s="11">
        <v>751645</v>
      </c>
      <c r="AH22" s="11">
        <f>-161+169038</f>
        <v>168877</v>
      </c>
      <c r="AI22" s="12">
        <f>SUM(B22:AH22)</f>
        <v>7303597.7910000002</v>
      </c>
    </row>
    <row r="23" spans="1:35" x14ac:dyDescent="0.25">
      <c r="A23" s="31"/>
    </row>
    <row r="24" spans="1:35" x14ac:dyDescent="0.25">
      <c r="A24" s="32" t="s">
        <v>231</v>
      </c>
    </row>
    <row r="25" spans="1:35" x14ac:dyDescent="0.25">
      <c r="A25" s="4" t="s">
        <v>0</v>
      </c>
      <c r="B25" s="73" t="s">
        <v>1</v>
      </c>
      <c r="C25" s="73" t="s">
        <v>2</v>
      </c>
      <c r="D25" s="73" t="s">
        <v>3</v>
      </c>
      <c r="E25" s="73" t="s">
        <v>4</v>
      </c>
      <c r="F25" s="73" t="s">
        <v>5</v>
      </c>
      <c r="G25" s="73" t="s">
        <v>6</v>
      </c>
      <c r="H25" s="73" t="s">
        <v>7</v>
      </c>
      <c r="I25" s="73" t="s">
        <v>8</v>
      </c>
      <c r="J25" s="73" t="s">
        <v>9</v>
      </c>
      <c r="K25" s="73" t="s">
        <v>10</v>
      </c>
      <c r="L25" s="73" t="s">
        <v>11</v>
      </c>
      <c r="M25" s="73" t="s">
        <v>293</v>
      </c>
      <c r="N25" s="73" t="s">
        <v>12</v>
      </c>
      <c r="O25" s="73" t="s">
        <v>13</v>
      </c>
      <c r="P25" s="73" t="s">
        <v>14</v>
      </c>
      <c r="Q25" s="73" t="s">
        <v>15</v>
      </c>
      <c r="R25" s="73" t="s">
        <v>16</v>
      </c>
      <c r="S25" s="73" t="s">
        <v>295</v>
      </c>
      <c r="T25" s="73" t="s">
        <v>17</v>
      </c>
      <c r="U25" s="73" t="s">
        <v>18</v>
      </c>
      <c r="V25" s="73" t="s">
        <v>294</v>
      </c>
      <c r="W25" s="73" t="s">
        <v>19</v>
      </c>
      <c r="X25" s="73" t="s">
        <v>20</v>
      </c>
      <c r="Y25" s="73" t="s">
        <v>21</v>
      </c>
      <c r="Z25" s="73" t="s">
        <v>22</v>
      </c>
      <c r="AA25" s="73" t="s">
        <v>23</v>
      </c>
      <c r="AB25" s="73" t="s">
        <v>24</v>
      </c>
      <c r="AC25" s="73" t="s">
        <v>25</v>
      </c>
      <c r="AD25" s="73" t="s">
        <v>26</v>
      </c>
      <c r="AE25" s="73" t="s">
        <v>27</v>
      </c>
      <c r="AF25" s="73" t="s">
        <v>28</v>
      </c>
      <c r="AG25" s="72" t="s">
        <v>29</v>
      </c>
      <c r="AH25" s="96" t="s">
        <v>30</v>
      </c>
      <c r="AI25" s="46" t="s">
        <v>31</v>
      </c>
    </row>
    <row r="26" spans="1:35" x14ac:dyDescent="0.25">
      <c r="A26" s="33" t="s">
        <v>237</v>
      </c>
      <c r="B26" s="11"/>
      <c r="C26" s="11"/>
      <c r="D26" s="11"/>
      <c r="E26" s="11">
        <v>34190</v>
      </c>
      <c r="F26" s="11">
        <v>8437</v>
      </c>
      <c r="G26" s="11">
        <v>6439</v>
      </c>
      <c r="H26" s="11">
        <v>26</v>
      </c>
      <c r="I26" s="11"/>
      <c r="J26" s="11">
        <v>10716</v>
      </c>
      <c r="K26" s="11">
        <v>1204</v>
      </c>
      <c r="L26" s="11">
        <v>30993</v>
      </c>
      <c r="M26" s="11"/>
      <c r="N26" s="11">
        <v>68645</v>
      </c>
      <c r="O26" s="11">
        <v>26334</v>
      </c>
      <c r="P26" s="11">
        <v>149</v>
      </c>
      <c r="Q26" s="11">
        <v>6571</v>
      </c>
      <c r="R26" s="11">
        <v>1082</v>
      </c>
      <c r="S26" s="11"/>
      <c r="T26" s="11"/>
      <c r="U26" s="11">
        <v>56829.936999999998</v>
      </c>
      <c r="V26" s="11"/>
      <c r="W26" s="11">
        <v>182703</v>
      </c>
      <c r="X26" s="11">
        <v>44142</v>
      </c>
      <c r="Y26" s="11">
        <v>189</v>
      </c>
      <c r="Z26" s="11">
        <v>26384</v>
      </c>
      <c r="AA26" s="11"/>
      <c r="AB26" s="11">
        <v>19347</v>
      </c>
      <c r="AC26" s="11">
        <v>7590</v>
      </c>
      <c r="AD26" s="11">
        <v>2845</v>
      </c>
      <c r="AE26" s="11"/>
      <c r="AF26" s="11">
        <v>15535</v>
      </c>
      <c r="AG26" s="11">
        <v>69157</v>
      </c>
      <c r="AH26" s="11">
        <v>2517</v>
      </c>
      <c r="AI26" s="12">
        <f>SUM(B26:AH26)</f>
        <v>622024.93700000003</v>
      </c>
    </row>
    <row r="27" spans="1:35" x14ac:dyDescent="0.25">
      <c r="A27" s="33" t="s">
        <v>288</v>
      </c>
      <c r="B27" s="11"/>
      <c r="C27" s="11"/>
      <c r="D27" s="11"/>
      <c r="E27" s="11">
        <v>1561</v>
      </c>
      <c r="F27" s="11">
        <v>498</v>
      </c>
      <c r="G27" s="11">
        <v>99</v>
      </c>
      <c r="H27" s="11">
        <v>147</v>
      </c>
      <c r="I27" s="11"/>
      <c r="J27" s="11">
        <v>70</v>
      </c>
      <c r="K27" s="11">
        <v>2056</v>
      </c>
      <c r="L27" s="11">
        <v>506</v>
      </c>
      <c r="M27" s="11"/>
      <c r="N27" s="11">
        <v>18276</v>
      </c>
      <c r="O27" s="11">
        <v>905</v>
      </c>
      <c r="P27" s="11">
        <v>27</v>
      </c>
      <c r="Q27" s="11">
        <v>53</v>
      </c>
      <c r="R27" s="11">
        <v>516</v>
      </c>
      <c r="S27" s="11"/>
      <c r="T27" s="11"/>
      <c r="U27" s="11">
        <v>11675.079</v>
      </c>
      <c r="V27" s="11">
        <v>27</v>
      </c>
      <c r="W27" s="11">
        <v>23201</v>
      </c>
      <c r="X27" s="11">
        <v>39</v>
      </c>
      <c r="Y27" s="11"/>
      <c r="Z27" s="11">
        <v>584</v>
      </c>
      <c r="AA27" s="11"/>
      <c r="AB27" s="11">
        <v>600</v>
      </c>
      <c r="AC27" s="11">
        <v>229</v>
      </c>
      <c r="AD27" s="11">
        <v>398</v>
      </c>
      <c r="AE27" s="11"/>
      <c r="AF27" s="11">
        <v>4772</v>
      </c>
      <c r="AG27" s="11">
        <v>6813</v>
      </c>
      <c r="AH27" s="11">
        <v>147</v>
      </c>
      <c r="AI27" s="12">
        <f>SUM(B27:AH27)</f>
        <v>73199.078999999998</v>
      </c>
    </row>
    <row r="28" spans="1:35" x14ac:dyDescent="0.25">
      <c r="A28" s="33" t="s">
        <v>289</v>
      </c>
      <c r="B28" s="11"/>
      <c r="C28" s="11"/>
      <c r="D28" s="11"/>
      <c r="E28" s="11">
        <v>74477</v>
      </c>
      <c r="F28" s="11">
        <v>14560</v>
      </c>
      <c r="G28" s="11">
        <v>5875</v>
      </c>
      <c r="H28" s="11">
        <v>33</v>
      </c>
      <c r="I28" s="11"/>
      <c r="J28" s="11">
        <v>15297</v>
      </c>
      <c r="K28" s="11">
        <v>2693</v>
      </c>
      <c r="L28" s="11">
        <v>-84311</v>
      </c>
      <c r="M28" s="11"/>
      <c r="N28" s="11">
        <v>108296</v>
      </c>
      <c r="O28" s="11">
        <v>19028</v>
      </c>
      <c r="P28" s="11">
        <v>143</v>
      </c>
      <c r="Q28" s="11">
        <v>8735</v>
      </c>
      <c r="R28" s="11">
        <v>-2877</v>
      </c>
      <c r="S28" s="11"/>
      <c r="T28" s="11"/>
      <c r="U28" s="11">
        <v>33180.845000000001</v>
      </c>
      <c r="V28" s="11"/>
      <c r="W28" s="11">
        <v>112004</v>
      </c>
      <c r="X28" s="11">
        <v>20864</v>
      </c>
      <c r="Y28" s="11">
        <v>201</v>
      </c>
      <c r="Z28" s="11">
        <v>6894</v>
      </c>
      <c r="AA28" s="11"/>
      <c r="AB28" s="11">
        <v>-30703</v>
      </c>
      <c r="AC28" s="11">
        <v>9602</v>
      </c>
      <c r="AD28" s="11">
        <v>2540</v>
      </c>
      <c r="AE28" s="11"/>
      <c r="AF28" s="11">
        <v>46459</v>
      </c>
      <c r="AG28" s="11">
        <v>39316</v>
      </c>
      <c r="AH28" s="11">
        <v>4063</v>
      </c>
      <c r="AI28" s="12">
        <f>SUM(B28:AH28)</f>
        <v>406369.84499999997</v>
      </c>
    </row>
    <row r="29" spans="1:35" x14ac:dyDescent="0.25">
      <c r="A29" s="33" t="s">
        <v>238</v>
      </c>
      <c r="B29" s="11"/>
      <c r="C29" s="11"/>
      <c r="D29" s="11"/>
      <c r="E29" s="11">
        <v>-38726</v>
      </c>
      <c r="F29" s="11">
        <v>-5626</v>
      </c>
      <c r="G29" s="11">
        <v>663</v>
      </c>
      <c r="H29" s="11">
        <v>140</v>
      </c>
      <c r="I29" s="11"/>
      <c r="J29" s="11">
        <v>-4512</v>
      </c>
      <c r="K29" s="11">
        <v>567</v>
      </c>
      <c r="L29" s="11">
        <v>-52812</v>
      </c>
      <c r="M29" s="11"/>
      <c r="N29" s="11">
        <v>-21375</v>
      </c>
      <c r="O29" s="11">
        <v>8211</v>
      </c>
      <c r="P29" s="11">
        <v>33</v>
      </c>
      <c r="Q29" s="11">
        <v>-2111</v>
      </c>
      <c r="R29" s="11">
        <v>-1279</v>
      </c>
      <c r="S29" s="11"/>
      <c r="T29" s="11"/>
      <c r="U29" s="11">
        <v>35324.171000000002</v>
      </c>
      <c r="V29" s="11">
        <v>27</v>
      </c>
      <c r="W29" s="11">
        <v>93901</v>
      </c>
      <c r="X29" s="11">
        <v>23317</v>
      </c>
      <c r="Y29" s="11">
        <v>-12</v>
      </c>
      <c r="Z29" s="11">
        <v>20074</v>
      </c>
      <c r="AA29" s="11"/>
      <c r="AB29" s="11">
        <v>-10756</v>
      </c>
      <c r="AC29" s="11">
        <v>-1783</v>
      </c>
      <c r="AD29" s="11">
        <v>702</v>
      </c>
      <c r="AE29" s="11"/>
      <c r="AF29" s="11">
        <v>-26152</v>
      </c>
      <c r="AG29" s="11">
        <v>36654</v>
      </c>
      <c r="AH29" s="11">
        <v>-1399</v>
      </c>
      <c r="AI29" s="12">
        <f>SUM(B29:AH29)</f>
        <v>53070.171000000002</v>
      </c>
    </row>
    <row r="30" spans="1:35" x14ac:dyDescent="0.25">
      <c r="A30" s="31"/>
    </row>
    <row r="31" spans="1:35" x14ac:dyDescent="0.25">
      <c r="A31" s="32" t="s">
        <v>232</v>
      </c>
    </row>
    <row r="32" spans="1:35" x14ac:dyDescent="0.25">
      <c r="A32" s="4" t="s">
        <v>0</v>
      </c>
      <c r="B32" s="73" t="s">
        <v>1</v>
      </c>
      <c r="C32" s="73" t="s">
        <v>2</v>
      </c>
      <c r="D32" s="73" t="s">
        <v>3</v>
      </c>
      <c r="E32" s="73" t="s">
        <v>4</v>
      </c>
      <c r="F32" s="73" t="s">
        <v>5</v>
      </c>
      <c r="G32" s="73" t="s">
        <v>6</v>
      </c>
      <c r="H32" s="73" t="s">
        <v>7</v>
      </c>
      <c r="I32" s="73" t="s">
        <v>8</v>
      </c>
      <c r="J32" s="73" t="s">
        <v>9</v>
      </c>
      <c r="K32" s="73" t="s">
        <v>10</v>
      </c>
      <c r="L32" s="73" t="s">
        <v>11</v>
      </c>
      <c r="M32" s="73" t="s">
        <v>293</v>
      </c>
      <c r="N32" s="73" t="s">
        <v>12</v>
      </c>
      <c r="O32" s="73" t="s">
        <v>13</v>
      </c>
      <c r="P32" s="73" t="s">
        <v>14</v>
      </c>
      <c r="Q32" s="73" t="s">
        <v>15</v>
      </c>
      <c r="R32" s="73" t="s">
        <v>16</v>
      </c>
      <c r="S32" s="73" t="s">
        <v>295</v>
      </c>
      <c r="T32" s="73" t="s">
        <v>17</v>
      </c>
      <c r="U32" s="73" t="s">
        <v>18</v>
      </c>
      <c r="V32" s="73" t="s">
        <v>294</v>
      </c>
      <c r="W32" s="73" t="s">
        <v>19</v>
      </c>
      <c r="X32" s="73" t="s">
        <v>20</v>
      </c>
      <c r="Y32" s="73" t="s">
        <v>21</v>
      </c>
      <c r="Z32" s="73" t="s">
        <v>22</v>
      </c>
      <c r="AA32" s="73" t="s">
        <v>23</v>
      </c>
      <c r="AB32" s="73" t="s">
        <v>24</v>
      </c>
      <c r="AC32" s="73" t="s">
        <v>25</v>
      </c>
      <c r="AD32" s="73" t="s">
        <v>26</v>
      </c>
      <c r="AE32" s="73" t="s">
        <v>27</v>
      </c>
      <c r="AF32" s="73" t="s">
        <v>28</v>
      </c>
      <c r="AG32" s="72" t="s">
        <v>29</v>
      </c>
      <c r="AH32" s="96" t="s">
        <v>30</v>
      </c>
      <c r="AI32" s="46" t="s">
        <v>31</v>
      </c>
    </row>
    <row r="33" spans="1:35" x14ac:dyDescent="0.25">
      <c r="A33" s="33" t="s">
        <v>237</v>
      </c>
      <c r="B33" s="11">
        <v>6231</v>
      </c>
      <c r="C33" s="11">
        <v>278576</v>
      </c>
      <c r="D33" s="11"/>
      <c r="E33" s="11">
        <v>377526</v>
      </c>
      <c r="F33" s="11">
        <v>78965</v>
      </c>
      <c r="G33" s="11">
        <v>97204</v>
      </c>
      <c r="H33" s="11">
        <v>8618</v>
      </c>
      <c r="I33" s="11"/>
      <c r="J33" s="11">
        <v>39889</v>
      </c>
      <c r="K33" s="11">
        <v>42508</v>
      </c>
      <c r="L33" s="11">
        <v>303068</v>
      </c>
      <c r="M33" s="11">
        <v>585469</v>
      </c>
      <c r="N33" s="11">
        <v>486533</v>
      </c>
      <c r="O33" s="11">
        <v>211884</v>
      </c>
      <c r="P33" s="11">
        <v>31781</v>
      </c>
      <c r="Q33" s="11">
        <v>58840</v>
      </c>
      <c r="R33" s="11">
        <v>13399</v>
      </c>
      <c r="S33" s="11">
        <v>156748</v>
      </c>
      <c r="T33" s="11">
        <v>347465</v>
      </c>
      <c r="U33" s="11">
        <v>722397.728</v>
      </c>
      <c r="V33" s="11">
        <v>593</v>
      </c>
      <c r="W33" s="11">
        <v>1720225</v>
      </c>
      <c r="X33" s="11">
        <v>734211</v>
      </c>
      <c r="Y33" s="11">
        <v>350</v>
      </c>
      <c r="Z33" s="11">
        <v>176175</v>
      </c>
      <c r="AA33" s="11">
        <v>614528</v>
      </c>
      <c r="AB33" s="11">
        <v>87457</v>
      </c>
      <c r="AC33" s="11">
        <v>181243</v>
      </c>
      <c r="AD33" s="11">
        <v>7</v>
      </c>
      <c r="AE33" s="11"/>
      <c r="AF33" s="11">
        <v>242896</v>
      </c>
      <c r="AG33" s="11">
        <v>738113</v>
      </c>
      <c r="AH33" s="11">
        <v>50263</v>
      </c>
      <c r="AI33" s="12">
        <f>SUM(B33:AH33)</f>
        <v>8393162.7280000001</v>
      </c>
    </row>
    <row r="34" spans="1:35" x14ac:dyDescent="0.25">
      <c r="A34" s="33" t="s">
        <v>288</v>
      </c>
      <c r="B34" s="11"/>
      <c r="C34" s="11"/>
      <c r="D34" s="11"/>
      <c r="E34" s="11"/>
      <c r="F34" s="11"/>
      <c r="G34" s="11"/>
      <c r="H34" s="11">
        <v>23</v>
      </c>
      <c r="I34" s="11"/>
      <c r="J34" s="11"/>
      <c r="K34" s="11"/>
      <c r="L34" s="11"/>
      <c r="M34" s="11"/>
      <c r="N34" s="11">
        <v>16985</v>
      </c>
      <c r="O34" s="11"/>
      <c r="P34" s="11"/>
      <c r="Q34" s="11"/>
      <c r="R34" s="11"/>
      <c r="S34" s="11"/>
      <c r="T34" s="11"/>
      <c r="U34" s="11">
        <v>0</v>
      </c>
      <c r="V34" s="11"/>
      <c r="W34" s="11">
        <v>952</v>
      </c>
      <c r="X34" s="11">
        <v>-829</v>
      </c>
      <c r="Y34" s="11"/>
      <c r="Z34" s="11"/>
      <c r="AA34" s="11">
        <v>1316</v>
      </c>
      <c r="AB34" s="11"/>
      <c r="AC34" s="11">
        <v>181243</v>
      </c>
      <c r="AD34" s="11"/>
      <c r="AE34" s="11"/>
      <c r="AF34" s="11"/>
      <c r="AG34" s="11">
        <v>0</v>
      </c>
      <c r="AH34" s="11"/>
      <c r="AI34" s="12">
        <f>SUM(B34:AH34)</f>
        <v>199690</v>
      </c>
    </row>
    <row r="35" spans="1:35" x14ac:dyDescent="0.25">
      <c r="A35" s="33" t="s">
        <v>289</v>
      </c>
      <c r="B35" s="11">
        <v>733</v>
      </c>
      <c r="C35" s="11">
        <v>183724</v>
      </c>
      <c r="D35" s="11"/>
      <c r="E35" s="11">
        <v>52915</v>
      </c>
      <c r="F35" s="11">
        <v>28267</v>
      </c>
      <c r="G35" s="11">
        <v>53862</v>
      </c>
      <c r="H35" s="11">
        <v>2906</v>
      </c>
      <c r="I35" s="11"/>
      <c r="J35" s="11">
        <v>24747</v>
      </c>
      <c r="K35" s="11">
        <v>24800</v>
      </c>
      <c r="L35" s="11">
        <v>-252970</v>
      </c>
      <c r="M35" s="11">
        <v>394713</v>
      </c>
      <c r="N35" s="11">
        <v>274721</v>
      </c>
      <c r="O35" s="11">
        <v>24545</v>
      </c>
      <c r="P35" s="11">
        <v>2353</v>
      </c>
      <c r="Q35" s="11">
        <v>2841</v>
      </c>
      <c r="R35" s="11">
        <v>-2458</v>
      </c>
      <c r="S35" s="11">
        <v>9138</v>
      </c>
      <c r="T35" s="11">
        <v>283609</v>
      </c>
      <c r="U35" s="11">
        <v>59090.383000000002</v>
      </c>
      <c r="V35" s="11">
        <v>-3176</v>
      </c>
      <c r="W35" s="11">
        <v>175462</v>
      </c>
      <c r="X35" s="11">
        <v>52953</v>
      </c>
      <c r="Y35" s="11">
        <v>21</v>
      </c>
      <c r="Z35" s="11">
        <v>19367</v>
      </c>
      <c r="AA35" s="11">
        <v>672036</v>
      </c>
      <c r="AB35" s="11">
        <v>6573</v>
      </c>
      <c r="AC35" s="11">
        <v>10418</v>
      </c>
      <c r="AD35" s="11">
        <v>8</v>
      </c>
      <c r="AE35" s="11"/>
      <c r="AF35" s="11">
        <v>53499</v>
      </c>
      <c r="AG35" s="11">
        <v>85614</v>
      </c>
      <c r="AH35" s="11">
        <v>4802</v>
      </c>
      <c r="AI35" s="12">
        <f>SUM(B35:AH35)</f>
        <v>2245113.3829999999</v>
      </c>
    </row>
    <row r="36" spans="1:35" x14ac:dyDescent="0.25">
      <c r="A36" s="33" t="s">
        <v>238</v>
      </c>
      <c r="B36" s="11">
        <v>5498</v>
      </c>
      <c r="C36" s="11">
        <v>94852</v>
      </c>
      <c r="D36" s="11"/>
      <c r="E36" s="11">
        <v>324611</v>
      </c>
      <c r="F36" s="11">
        <v>50697</v>
      </c>
      <c r="G36" s="11">
        <v>43342</v>
      </c>
      <c r="H36" s="11">
        <v>5735</v>
      </c>
      <c r="I36" s="11"/>
      <c r="J36" s="11">
        <v>15141</v>
      </c>
      <c r="K36" s="11">
        <v>17708</v>
      </c>
      <c r="L36" s="11">
        <v>50098</v>
      </c>
      <c r="M36" s="11">
        <v>190756</v>
      </c>
      <c r="N36" s="11">
        <v>228797</v>
      </c>
      <c r="O36" s="11">
        <v>187339</v>
      </c>
      <c r="P36" s="11">
        <v>29428</v>
      </c>
      <c r="Q36" s="11">
        <v>55999</v>
      </c>
      <c r="R36" s="11">
        <v>10941</v>
      </c>
      <c r="S36" s="11">
        <v>147610</v>
      </c>
      <c r="T36" s="11">
        <v>63856</v>
      </c>
      <c r="U36" s="11">
        <v>663307.34499999997</v>
      </c>
      <c r="V36" s="11">
        <v>-2583</v>
      </c>
      <c r="W36" s="11">
        <v>1545715</v>
      </c>
      <c r="X36" s="11">
        <v>680429</v>
      </c>
      <c r="Y36" s="11">
        <v>329</v>
      </c>
      <c r="Z36" s="11">
        <v>156808</v>
      </c>
      <c r="AA36" s="11">
        <v>-56192</v>
      </c>
      <c r="AB36" s="11">
        <v>94030</v>
      </c>
      <c r="AC36" s="11">
        <v>14952</v>
      </c>
      <c r="AD36" s="11">
        <v>-2</v>
      </c>
      <c r="AE36" s="11"/>
      <c r="AF36" s="11">
        <v>189397</v>
      </c>
      <c r="AG36" s="11">
        <v>652499</v>
      </c>
      <c r="AH36" s="11">
        <v>45461</v>
      </c>
      <c r="AI36" s="12">
        <f>SUM(B36:AH36)</f>
        <v>5506558.3449999997</v>
      </c>
    </row>
    <row r="37" spans="1:35" x14ac:dyDescent="0.25">
      <c r="A37" s="31"/>
    </row>
    <row r="38" spans="1:35" x14ac:dyDescent="0.25">
      <c r="A38" s="32" t="s">
        <v>233</v>
      </c>
    </row>
    <row r="39" spans="1:35" x14ac:dyDescent="0.25">
      <c r="A39" s="4" t="s">
        <v>0</v>
      </c>
      <c r="B39" s="73" t="s">
        <v>1</v>
      </c>
      <c r="C39" s="73" t="s">
        <v>2</v>
      </c>
      <c r="D39" s="73" t="s">
        <v>3</v>
      </c>
      <c r="E39" s="73" t="s">
        <v>4</v>
      </c>
      <c r="F39" s="73" t="s">
        <v>5</v>
      </c>
      <c r="G39" s="73" t="s">
        <v>6</v>
      </c>
      <c r="H39" s="73" t="s">
        <v>7</v>
      </c>
      <c r="I39" s="73" t="s">
        <v>8</v>
      </c>
      <c r="J39" s="73" t="s">
        <v>9</v>
      </c>
      <c r="K39" s="73" t="s">
        <v>10</v>
      </c>
      <c r="L39" s="73" t="s">
        <v>11</v>
      </c>
      <c r="M39" s="73" t="s">
        <v>293</v>
      </c>
      <c r="N39" s="73" t="s">
        <v>12</v>
      </c>
      <c r="O39" s="73" t="s">
        <v>13</v>
      </c>
      <c r="P39" s="73" t="s">
        <v>14</v>
      </c>
      <c r="Q39" s="73" t="s">
        <v>15</v>
      </c>
      <c r="R39" s="73" t="s">
        <v>16</v>
      </c>
      <c r="S39" s="73" t="s">
        <v>295</v>
      </c>
      <c r="T39" s="73" t="s">
        <v>17</v>
      </c>
      <c r="U39" s="73" t="s">
        <v>18</v>
      </c>
      <c r="V39" s="73" t="s">
        <v>294</v>
      </c>
      <c r="W39" s="73" t="s">
        <v>19</v>
      </c>
      <c r="X39" s="73" t="s">
        <v>20</v>
      </c>
      <c r="Y39" s="73" t="s">
        <v>21</v>
      </c>
      <c r="Z39" s="73" t="s">
        <v>22</v>
      </c>
      <c r="AA39" s="73" t="s">
        <v>23</v>
      </c>
      <c r="AB39" s="73" t="s">
        <v>24</v>
      </c>
      <c r="AC39" s="73" t="s">
        <v>25</v>
      </c>
      <c r="AD39" s="73" t="s">
        <v>26</v>
      </c>
      <c r="AE39" s="73" t="s">
        <v>27</v>
      </c>
      <c r="AF39" s="73" t="s">
        <v>28</v>
      </c>
      <c r="AG39" s="72" t="s">
        <v>29</v>
      </c>
      <c r="AH39" s="96" t="s">
        <v>30</v>
      </c>
      <c r="AI39" s="46" t="s">
        <v>31</v>
      </c>
    </row>
    <row r="40" spans="1:35" x14ac:dyDescent="0.25">
      <c r="A40" s="33" t="s">
        <v>237</v>
      </c>
      <c r="B40" s="11">
        <v>348</v>
      </c>
      <c r="C40" s="11">
        <v>20752</v>
      </c>
      <c r="D40" s="11"/>
      <c r="E40" s="11">
        <v>51066</v>
      </c>
      <c r="F40" s="11">
        <v>5570</v>
      </c>
      <c r="G40" s="11">
        <v>55641</v>
      </c>
      <c r="H40" s="11">
        <v>1359</v>
      </c>
      <c r="I40" s="11"/>
      <c r="J40" s="11">
        <v>13058</v>
      </c>
      <c r="K40" s="11">
        <v>86</v>
      </c>
      <c r="L40" s="11">
        <v>74453</v>
      </c>
      <c r="M40" s="11">
        <v>15960</v>
      </c>
      <c r="N40" s="11">
        <v>44796</v>
      </c>
      <c r="O40" s="11">
        <v>28755</v>
      </c>
      <c r="P40" s="11">
        <v>235</v>
      </c>
      <c r="Q40" s="11">
        <v>4504</v>
      </c>
      <c r="R40" s="11">
        <v>145</v>
      </c>
      <c r="S40" s="11">
        <v>1369</v>
      </c>
      <c r="T40" s="11">
        <v>8006</v>
      </c>
      <c r="U40" s="11">
        <v>20953.945</v>
      </c>
      <c r="V40" s="11">
        <v>218</v>
      </c>
      <c r="W40" s="11">
        <v>121270</v>
      </c>
      <c r="X40" s="11">
        <v>24158</v>
      </c>
      <c r="Y40" s="11">
        <v>28</v>
      </c>
      <c r="Z40" s="11">
        <v>6442</v>
      </c>
      <c r="AA40" s="11">
        <v>32076</v>
      </c>
      <c r="AB40" s="11">
        <v>19031</v>
      </c>
      <c r="AC40" s="11">
        <v>110646</v>
      </c>
      <c r="AD40" s="11">
        <v>1646</v>
      </c>
      <c r="AE40" s="11"/>
      <c r="AF40" s="11">
        <v>28055</v>
      </c>
      <c r="AG40" s="11">
        <v>43058</v>
      </c>
      <c r="AH40" s="11">
        <v>43981</v>
      </c>
      <c r="AI40" s="12">
        <f>SUM(B40:AH40)</f>
        <v>777665.94500000007</v>
      </c>
    </row>
    <row r="41" spans="1:35" x14ac:dyDescent="0.25">
      <c r="A41" s="33" t="s">
        <v>288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>
        <v>621</v>
      </c>
      <c r="M41" s="11"/>
      <c r="N41" s="11"/>
      <c r="O41" s="11"/>
      <c r="P41" s="11"/>
      <c r="Q41" s="11"/>
      <c r="R41" s="11"/>
      <c r="S41" s="11"/>
      <c r="T41" s="11"/>
      <c r="U41" s="11">
        <v>0</v>
      </c>
      <c r="V41" s="11"/>
      <c r="W41" s="11">
        <v>2824</v>
      </c>
      <c r="X41" s="11"/>
      <c r="Y41" s="11"/>
      <c r="Z41" s="11"/>
      <c r="AA41" s="11"/>
      <c r="AB41" s="11">
        <v>65</v>
      </c>
      <c r="AC41" s="11">
        <v>110646</v>
      </c>
      <c r="AD41" s="11"/>
      <c r="AE41" s="11"/>
      <c r="AF41" s="11"/>
      <c r="AG41" s="11">
        <v>0</v>
      </c>
      <c r="AH41" s="11"/>
      <c r="AI41" s="12">
        <f>SUM(B41:AH41)</f>
        <v>114156</v>
      </c>
    </row>
    <row r="42" spans="1:35" x14ac:dyDescent="0.25">
      <c r="A42" s="33" t="s">
        <v>289</v>
      </c>
      <c r="B42" s="11">
        <v>42</v>
      </c>
      <c r="C42" s="11">
        <v>1049</v>
      </c>
      <c r="D42" s="11"/>
      <c r="E42" s="11">
        <v>4067</v>
      </c>
      <c r="F42" s="11">
        <v>722</v>
      </c>
      <c r="G42" s="11">
        <v>59226</v>
      </c>
      <c r="H42" s="11">
        <v>111</v>
      </c>
      <c r="I42" s="11"/>
      <c r="J42" s="11">
        <v>2091</v>
      </c>
      <c r="K42" s="11">
        <v>244</v>
      </c>
      <c r="L42" s="11">
        <v>-87648</v>
      </c>
      <c r="M42" s="11">
        <v>13092</v>
      </c>
      <c r="N42" s="11">
        <v>-8819</v>
      </c>
      <c r="O42" s="11">
        <v>5116</v>
      </c>
      <c r="P42" s="11">
        <v>14485</v>
      </c>
      <c r="Q42" s="11">
        <v>309</v>
      </c>
      <c r="R42" s="11">
        <v>-107</v>
      </c>
      <c r="S42" s="11">
        <v>100</v>
      </c>
      <c r="T42" s="11">
        <v>10120</v>
      </c>
      <c r="U42" s="11">
        <v>25398.267939099998</v>
      </c>
      <c r="V42" s="11">
        <v>-503</v>
      </c>
      <c r="W42" s="11">
        <v>20829</v>
      </c>
      <c r="X42" s="11">
        <v>7241</v>
      </c>
      <c r="Y42" s="11">
        <v>52</v>
      </c>
      <c r="Z42" s="11">
        <v>656</v>
      </c>
      <c r="AA42" s="11">
        <v>5117</v>
      </c>
      <c r="AB42" s="11">
        <v>-3772</v>
      </c>
      <c r="AC42" s="11"/>
      <c r="AD42" s="11">
        <v>1274</v>
      </c>
      <c r="AE42" s="11"/>
      <c r="AF42" s="11">
        <v>3364</v>
      </c>
      <c r="AG42" s="11">
        <v>81557</v>
      </c>
      <c r="AH42" s="11">
        <v>12673</v>
      </c>
      <c r="AI42" s="12">
        <f>SUM(B42:AH42)</f>
        <v>168086.26793909998</v>
      </c>
    </row>
    <row r="43" spans="1:35" x14ac:dyDescent="0.25">
      <c r="A43" s="33" t="s">
        <v>238</v>
      </c>
      <c r="B43" s="11">
        <v>306</v>
      </c>
      <c r="C43" s="11">
        <v>19703</v>
      </c>
      <c r="D43" s="11"/>
      <c r="E43" s="11">
        <v>46999</v>
      </c>
      <c r="F43" s="11">
        <v>4848</v>
      </c>
      <c r="G43" s="11">
        <v>-3585</v>
      </c>
      <c r="H43" s="11">
        <v>1248</v>
      </c>
      <c r="I43" s="11"/>
      <c r="J43" s="11">
        <v>10967</v>
      </c>
      <c r="K43" s="11">
        <v>-159</v>
      </c>
      <c r="L43" s="11">
        <v>-12574</v>
      </c>
      <c r="M43" s="11">
        <v>2868</v>
      </c>
      <c r="N43" s="11">
        <v>53615</v>
      </c>
      <c r="O43" s="11">
        <v>23639</v>
      </c>
      <c r="P43" s="11">
        <v>-14250</v>
      </c>
      <c r="Q43" s="11">
        <v>4194</v>
      </c>
      <c r="R43" s="11">
        <v>38</v>
      </c>
      <c r="S43" s="11">
        <v>1269</v>
      </c>
      <c r="T43" s="11">
        <v>-2114</v>
      </c>
      <c r="U43" s="11">
        <v>-4444.3229390999986</v>
      </c>
      <c r="V43" s="11">
        <v>-285</v>
      </c>
      <c r="W43" s="11">
        <v>103265</v>
      </c>
      <c r="X43" s="11">
        <v>16917</v>
      </c>
      <c r="Y43" s="11">
        <v>-24</v>
      </c>
      <c r="Z43" s="11">
        <v>5786</v>
      </c>
      <c r="AA43" s="11">
        <v>26959</v>
      </c>
      <c r="AB43" s="11">
        <v>15324</v>
      </c>
      <c r="AC43" s="11">
        <v>7878</v>
      </c>
      <c r="AD43" s="11">
        <v>372</v>
      </c>
      <c r="AE43" s="11"/>
      <c r="AF43" s="11">
        <v>24691</v>
      </c>
      <c r="AG43" s="11">
        <v>-38499</v>
      </c>
      <c r="AH43" s="11">
        <v>31308</v>
      </c>
      <c r="AI43" s="12">
        <f>SUM(B43:AH43)</f>
        <v>326259.67706090002</v>
      </c>
    </row>
    <row r="44" spans="1:35" x14ac:dyDescent="0.25">
      <c r="A44" s="31"/>
    </row>
    <row r="45" spans="1:35" x14ac:dyDescent="0.25">
      <c r="A45" s="32" t="s">
        <v>234</v>
      </c>
    </row>
    <row r="46" spans="1:35" x14ac:dyDescent="0.25">
      <c r="A46" s="4" t="s">
        <v>0</v>
      </c>
      <c r="B46" s="73" t="s">
        <v>1</v>
      </c>
      <c r="C46" s="73" t="s">
        <v>2</v>
      </c>
      <c r="D46" s="73" t="s">
        <v>3</v>
      </c>
      <c r="E46" s="73" t="s">
        <v>4</v>
      </c>
      <c r="F46" s="73" t="s">
        <v>5</v>
      </c>
      <c r="G46" s="73" t="s">
        <v>6</v>
      </c>
      <c r="H46" s="73" t="s">
        <v>7</v>
      </c>
      <c r="I46" s="73" t="s">
        <v>8</v>
      </c>
      <c r="J46" s="73" t="s">
        <v>9</v>
      </c>
      <c r="K46" s="73" t="s">
        <v>10</v>
      </c>
      <c r="L46" s="73" t="s">
        <v>11</v>
      </c>
      <c r="M46" s="73" t="s">
        <v>293</v>
      </c>
      <c r="N46" s="73" t="s">
        <v>12</v>
      </c>
      <c r="O46" s="73" t="s">
        <v>13</v>
      </c>
      <c r="P46" s="73" t="s">
        <v>14</v>
      </c>
      <c r="Q46" s="73" t="s">
        <v>15</v>
      </c>
      <c r="R46" s="73" t="s">
        <v>16</v>
      </c>
      <c r="S46" s="73" t="s">
        <v>295</v>
      </c>
      <c r="T46" s="73" t="s">
        <v>17</v>
      </c>
      <c r="U46" s="73" t="s">
        <v>18</v>
      </c>
      <c r="V46" s="73" t="s">
        <v>294</v>
      </c>
      <c r="W46" s="73" t="s">
        <v>19</v>
      </c>
      <c r="X46" s="73" t="s">
        <v>20</v>
      </c>
      <c r="Y46" s="73" t="s">
        <v>21</v>
      </c>
      <c r="Z46" s="73" t="s">
        <v>22</v>
      </c>
      <c r="AA46" s="73" t="s">
        <v>23</v>
      </c>
      <c r="AB46" s="73" t="s">
        <v>24</v>
      </c>
      <c r="AC46" s="73" t="s">
        <v>25</v>
      </c>
      <c r="AD46" s="73" t="s">
        <v>26</v>
      </c>
      <c r="AE46" s="73" t="s">
        <v>27</v>
      </c>
      <c r="AF46" s="73" t="s">
        <v>28</v>
      </c>
      <c r="AG46" s="72" t="s">
        <v>29</v>
      </c>
      <c r="AH46" s="96" t="s">
        <v>30</v>
      </c>
      <c r="AI46" s="46" t="s">
        <v>31</v>
      </c>
    </row>
    <row r="47" spans="1:35" x14ac:dyDescent="0.25">
      <c r="A47" s="33" t="s">
        <v>237</v>
      </c>
      <c r="B47" s="11"/>
      <c r="C47" s="11"/>
      <c r="D47" s="11"/>
      <c r="E47" s="11">
        <v>14481</v>
      </c>
      <c r="F47" s="11">
        <v>8959</v>
      </c>
      <c r="G47" s="11">
        <v>1177</v>
      </c>
      <c r="H47" s="11"/>
      <c r="I47" s="11"/>
      <c r="J47" s="11">
        <v>7295</v>
      </c>
      <c r="K47" s="11"/>
      <c r="L47" s="11">
        <v>461</v>
      </c>
      <c r="M47" s="11"/>
      <c r="N47" s="11">
        <v>11733</v>
      </c>
      <c r="O47" s="11">
        <v>30430</v>
      </c>
      <c r="P47" s="11"/>
      <c r="Q47" s="11">
        <v>4026</v>
      </c>
      <c r="R47" s="11">
        <v>16</v>
      </c>
      <c r="S47" s="11"/>
      <c r="T47" s="11"/>
      <c r="U47" s="11">
        <v>12474.93736</v>
      </c>
      <c r="V47" s="11"/>
      <c r="W47" s="11">
        <v>256896</v>
      </c>
      <c r="X47" s="11">
        <v>15614</v>
      </c>
      <c r="Y47" s="11">
        <v>1632</v>
      </c>
      <c r="Z47" s="11">
        <v>10199</v>
      </c>
      <c r="AA47" s="11"/>
      <c r="AB47" s="11">
        <v>1151</v>
      </c>
      <c r="AC47" s="11">
        <v>9443</v>
      </c>
      <c r="AD47" s="11">
        <v>277</v>
      </c>
      <c r="AE47" s="11"/>
      <c r="AF47" s="11">
        <v>134481</v>
      </c>
      <c r="AG47" s="11">
        <v>19593</v>
      </c>
      <c r="AH47" s="11">
        <v>1794</v>
      </c>
      <c r="AI47" s="12">
        <f>SUM(B47:AH47)</f>
        <v>542132.93735999998</v>
      </c>
    </row>
    <row r="48" spans="1:35" x14ac:dyDescent="0.25">
      <c r="A48" s="33" t="s">
        <v>288</v>
      </c>
      <c r="B48" s="11"/>
      <c r="C48" s="11"/>
      <c r="D48" s="11"/>
      <c r="E48" s="11"/>
      <c r="F48" s="11">
        <v>9</v>
      </c>
      <c r="G48" s="11"/>
      <c r="H48" s="11"/>
      <c r="I48" s="11"/>
      <c r="J48" s="11">
        <v>1443</v>
      </c>
      <c r="K48" s="11"/>
      <c r="L48" s="11">
        <v>203</v>
      </c>
      <c r="M48" s="11"/>
      <c r="N48" s="11"/>
      <c r="O48" s="11">
        <v>388</v>
      </c>
      <c r="P48" s="11"/>
      <c r="Q48" s="11"/>
      <c r="R48" s="11"/>
      <c r="S48" s="11"/>
      <c r="T48" s="11"/>
      <c r="U48" s="11">
        <v>0</v>
      </c>
      <c r="V48" s="11"/>
      <c r="W48" s="11">
        <v>174</v>
      </c>
      <c r="X48" s="11">
        <v>10</v>
      </c>
      <c r="Y48" s="11">
        <v>634</v>
      </c>
      <c r="Z48" s="11">
        <v>5</v>
      </c>
      <c r="AA48" s="11"/>
      <c r="AB48" s="11"/>
      <c r="AC48" s="11">
        <v>473</v>
      </c>
      <c r="AD48" s="11"/>
      <c r="AE48" s="11"/>
      <c r="AF48" s="11">
        <v>18811</v>
      </c>
      <c r="AG48" s="11">
        <v>0</v>
      </c>
      <c r="AH48" s="11"/>
      <c r="AI48" s="12">
        <f>SUM(B48:AH48)</f>
        <v>22150</v>
      </c>
    </row>
    <row r="49" spans="1:35" x14ac:dyDescent="0.25">
      <c r="A49" s="33" t="s">
        <v>289</v>
      </c>
      <c r="B49" s="11">
        <v>196</v>
      </c>
      <c r="C49" s="11"/>
      <c r="D49" s="11"/>
      <c r="E49" s="11">
        <v>11925</v>
      </c>
      <c r="F49" s="11">
        <v>4771</v>
      </c>
      <c r="G49" s="11">
        <v>1188</v>
      </c>
      <c r="H49" s="11"/>
      <c r="I49" s="11"/>
      <c r="J49" s="11">
        <v>7595</v>
      </c>
      <c r="K49" s="11"/>
      <c r="L49" s="11">
        <v>-701</v>
      </c>
      <c r="M49" s="11"/>
      <c r="N49" s="11">
        <v>5454</v>
      </c>
      <c r="O49" s="11">
        <v>6005</v>
      </c>
      <c r="P49" s="11"/>
      <c r="Q49" s="11">
        <v>554</v>
      </c>
      <c r="R49" s="11">
        <v>-18</v>
      </c>
      <c r="S49" s="11"/>
      <c r="T49" s="11"/>
      <c r="U49" s="11">
        <v>1159.8811724999998</v>
      </c>
      <c r="V49" s="11"/>
      <c r="W49" s="11">
        <v>51973</v>
      </c>
      <c r="X49" s="11">
        <v>2964</v>
      </c>
      <c r="Y49" s="11">
        <v>84</v>
      </c>
      <c r="Z49" s="11">
        <v>7067</v>
      </c>
      <c r="AA49" s="11"/>
      <c r="AB49" s="11">
        <v>-1451</v>
      </c>
      <c r="AC49" s="11">
        <v>18462</v>
      </c>
      <c r="AD49" s="11">
        <v>14</v>
      </c>
      <c r="AE49" s="11"/>
      <c r="AF49" s="11">
        <v>212131</v>
      </c>
      <c r="AG49" s="11">
        <v>2815</v>
      </c>
      <c r="AH49" s="11">
        <v>415</v>
      </c>
      <c r="AI49" s="12">
        <f>SUM(B49:AH49)</f>
        <v>332602.88117249997</v>
      </c>
    </row>
    <row r="50" spans="1:35" x14ac:dyDescent="0.25">
      <c r="A50" s="33" t="s">
        <v>238</v>
      </c>
      <c r="B50" s="11">
        <v>-196</v>
      </c>
      <c r="C50" s="11"/>
      <c r="D50" s="11"/>
      <c r="E50" s="11">
        <v>2556</v>
      </c>
      <c r="F50" s="11">
        <v>4197</v>
      </c>
      <c r="G50" s="11">
        <v>-11</v>
      </c>
      <c r="H50" s="11"/>
      <c r="I50" s="11"/>
      <c r="J50" s="11">
        <v>1143</v>
      </c>
      <c r="K50" s="11"/>
      <c r="L50" s="11">
        <v>-37</v>
      </c>
      <c r="M50" s="11"/>
      <c r="N50" s="11">
        <v>6279</v>
      </c>
      <c r="O50" s="11">
        <v>24813</v>
      </c>
      <c r="P50" s="11"/>
      <c r="Q50" s="11">
        <v>3473</v>
      </c>
      <c r="R50" s="11">
        <v>-2</v>
      </c>
      <c r="S50" s="11"/>
      <c r="T50" s="11"/>
      <c r="U50" s="11">
        <v>11315.0561875</v>
      </c>
      <c r="V50" s="11"/>
      <c r="W50" s="11">
        <v>205097</v>
      </c>
      <c r="X50" s="11">
        <v>12660</v>
      </c>
      <c r="Y50" s="11">
        <v>2181</v>
      </c>
      <c r="Z50" s="11">
        <v>3137</v>
      </c>
      <c r="AA50" s="11"/>
      <c r="AB50" s="11">
        <v>-300</v>
      </c>
      <c r="AC50" s="11">
        <v>-8546</v>
      </c>
      <c r="AD50" s="11">
        <v>262</v>
      </c>
      <c r="AE50" s="11"/>
      <c r="AF50" s="11">
        <v>-58839</v>
      </c>
      <c r="AG50" s="11">
        <v>16778</v>
      </c>
      <c r="AH50" s="11">
        <v>1379</v>
      </c>
      <c r="AI50" s="12">
        <f>SUM(B50:AH50)</f>
        <v>227339.05618750001</v>
      </c>
    </row>
    <row r="51" spans="1:35" x14ac:dyDescent="0.25">
      <c r="A51" s="34"/>
    </row>
    <row r="52" spans="1:35" x14ac:dyDescent="0.25">
      <c r="A52" s="35" t="s">
        <v>235</v>
      </c>
    </row>
    <row r="53" spans="1:35" x14ac:dyDescent="0.25">
      <c r="A53" s="4" t="s">
        <v>0</v>
      </c>
      <c r="B53" s="73" t="s">
        <v>1</v>
      </c>
      <c r="C53" s="73" t="s">
        <v>2</v>
      </c>
      <c r="D53" s="73" t="s">
        <v>3</v>
      </c>
      <c r="E53" s="73" t="s">
        <v>4</v>
      </c>
      <c r="F53" s="73" t="s">
        <v>5</v>
      </c>
      <c r="G53" s="73" t="s">
        <v>6</v>
      </c>
      <c r="H53" s="73" t="s">
        <v>7</v>
      </c>
      <c r="I53" s="73" t="s">
        <v>8</v>
      </c>
      <c r="J53" s="73" t="s">
        <v>9</v>
      </c>
      <c r="K53" s="73" t="s">
        <v>10</v>
      </c>
      <c r="L53" s="73" t="s">
        <v>11</v>
      </c>
      <c r="M53" s="73" t="s">
        <v>293</v>
      </c>
      <c r="N53" s="73" t="s">
        <v>12</v>
      </c>
      <c r="O53" s="73" t="s">
        <v>13</v>
      </c>
      <c r="P53" s="73" t="s">
        <v>14</v>
      </c>
      <c r="Q53" s="73" t="s">
        <v>15</v>
      </c>
      <c r="R53" s="73" t="s">
        <v>16</v>
      </c>
      <c r="S53" s="73" t="s">
        <v>295</v>
      </c>
      <c r="T53" s="73" t="s">
        <v>17</v>
      </c>
      <c r="U53" s="73" t="s">
        <v>18</v>
      </c>
      <c r="V53" s="73" t="s">
        <v>294</v>
      </c>
      <c r="W53" s="73" t="s">
        <v>19</v>
      </c>
      <c r="X53" s="73" t="s">
        <v>20</v>
      </c>
      <c r="Y53" s="73" t="s">
        <v>21</v>
      </c>
      <c r="Z53" s="73" t="s">
        <v>22</v>
      </c>
      <c r="AA53" s="73" t="s">
        <v>23</v>
      </c>
      <c r="AB53" s="73" t="s">
        <v>24</v>
      </c>
      <c r="AC53" s="73" t="s">
        <v>25</v>
      </c>
      <c r="AD53" s="73" t="s">
        <v>26</v>
      </c>
      <c r="AE53" s="73" t="s">
        <v>27</v>
      </c>
      <c r="AF53" s="73" t="s">
        <v>28</v>
      </c>
      <c r="AG53" s="72" t="s">
        <v>29</v>
      </c>
      <c r="AH53" s="96" t="s">
        <v>30</v>
      </c>
      <c r="AI53" s="46" t="s">
        <v>31</v>
      </c>
    </row>
    <row r="54" spans="1:35" x14ac:dyDescent="0.25">
      <c r="A54" s="33" t="s">
        <v>237</v>
      </c>
      <c r="B54" s="11"/>
      <c r="C54" s="11"/>
      <c r="D54" s="11"/>
      <c r="E54" s="11">
        <v>1077</v>
      </c>
      <c r="F54" s="11"/>
      <c r="G54" s="11"/>
      <c r="H54" s="11"/>
      <c r="I54" s="11"/>
      <c r="J54" s="11">
        <v>23</v>
      </c>
      <c r="K54" s="11"/>
      <c r="L54" s="11">
        <v>423</v>
      </c>
      <c r="M54" s="11"/>
      <c r="N54" s="11">
        <v>4148</v>
      </c>
      <c r="O54" s="11">
        <v>20</v>
      </c>
      <c r="P54" s="11"/>
      <c r="Q54" s="11"/>
      <c r="R54" s="11"/>
      <c r="S54" s="11"/>
      <c r="T54" s="11"/>
      <c r="U54" s="11">
        <v>1825.4580000000001</v>
      </c>
      <c r="V54" s="11"/>
      <c r="W54" s="11">
        <v>3780</v>
      </c>
      <c r="X54" s="11">
        <v>1973</v>
      </c>
      <c r="Y54" s="11"/>
      <c r="Z54" s="11">
        <v>4367</v>
      </c>
      <c r="AA54" s="11"/>
      <c r="AB54" s="11"/>
      <c r="AC54" s="11">
        <v>54</v>
      </c>
      <c r="AD54" s="11"/>
      <c r="AE54" s="11"/>
      <c r="AF54" s="11"/>
      <c r="AG54" s="11">
        <v>1602</v>
      </c>
      <c r="AH54" s="11"/>
      <c r="AI54" s="12">
        <f>SUM(B54:AH54)</f>
        <v>19292.457999999999</v>
      </c>
    </row>
    <row r="55" spans="1:35" x14ac:dyDescent="0.25">
      <c r="A55" s="33" t="s">
        <v>288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>
        <v>1350</v>
      </c>
      <c r="O55" s="11"/>
      <c r="P55" s="11"/>
      <c r="Q55" s="11"/>
      <c r="R55" s="11"/>
      <c r="S55" s="11"/>
      <c r="T55" s="11"/>
      <c r="U55" s="11">
        <v>5487.3779999999997</v>
      </c>
      <c r="V55" s="11"/>
      <c r="W55" s="11">
        <v>39074</v>
      </c>
      <c r="X55" s="11">
        <v>21452</v>
      </c>
      <c r="Y55" s="11"/>
      <c r="Z55" s="11"/>
      <c r="AA55" s="11"/>
      <c r="AB55" s="11"/>
      <c r="AC55" s="11">
        <v>54</v>
      </c>
      <c r="AD55" s="11"/>
      <c r="AE55" s="11"/>
      <c r="AF55" s="11"/>
      <c r="AG55" s="11">
        <v>8919</v>
      </c>
      <c r="AH55" s="11"/>
      <c r="AI55" s="12">
        <f>SUM(B55:AH55)</f>
        <v>76336.377999999997</v>
      </c>
    </row>
    <row r="56" spans="1:35" x14ac:dyDescent="0.25">
      <c r="A56" s="33" t="s">
        <v>289</v>
      </c>
      <c r="B56" s="11"/>
      <c r="C56" s="11"/>
      <c r="D56" s="11"/>
      <c r="E56" s="11">
        <v>2296</v>
      </c>
      <c r="F56" s="11"/>
      <c r="G56" s="11"/>
      <c r="H56" s="11"/>
      <c r="I56" s="11"/>
      <c r="J56" s="11">
        <v>8</v>
      </c>
      <c r="K56" s="11"/>
      <c r="L56" s="11">
        <v>-624</v>
      </c>
      <c r="M56" s="11"/>
      <c r="N56" s="11">
        <v>1943</v>
      </c>
      <c r="O56" s="11">
        <v>10</v>
      </c>
      <c r="P56" s="11"/>
      <c r="Q56" s="11"/>
      <c r="R56" s="11"/>
      <c r="S56" s="11"/>
      <c r="T56" s="11"/>
      <c r="U56" s="11">
        <v>3108.4690000000001</v>
      </c>
      <c r="V56" s="11"/>
      <c r="W56" s="11">
        <v>8974</v>
      </c>
      <c r="X56" s="11">
        <v>4480</v>
      </c>
      <c r="Y56" s="11"/>
      <c r="Z56" s="11">
        <v>2014</v>
      </c>
      <c r="AA56" s="11"/>
      <c r="AB56" s="11"/>
      <c r="AC56" s="11"/>
      <c r="AD56" s="11"/>
      <c r="AE56" s="11"/>
      <c r="AF56" s="11"/>
      <c r="AG56" s="11">
        <v>3655</v>
      </c>
      <c r="AH56" s="11"/>
      <c r="AI56" s="12">
        <f>SUM(B56:AH56)</f>
        <v>25864.469000000001</v>
      </c>
    </row>
    <row r="57" spans="1:35" x14ac:dyDescent="0.25">
      <c r="A57" s="33" t="s">
        <v>238</v>
      </c>
      <c r="B57" s="11"/>
      <c r="C57" s="11"/>
      <c r="D57" s="11"/>
      <c r="E57" s="11">
        <v>-1219</v>
      </c>
      <c r="F57" s="11"/>
      <c r="G57" s="11"/>
      <c r="H57" s="11"/>
      <c r="I57" s="11"/>
      <c r="J57" s="11">
        <v>14</v>
      </c>
      <c r="K57" s="11"/>
      <c r="L57" s="11">
        <v>-201</v>
      </c>
      <c r="M57" s="11"/>
      <c r="N57" s="11">
        <v>3555</v>
      </c>
      <c r="O57" s="11">
        <v>10</v>
      </c>
      <c r="P57" s="11"/>
      <c r="Q57" s="11"/>
      <c r="R57" s="11"/>
      <c r="S57" s="11"/>
      <c r="T57" s="11"/>
      <c r="U57" s="11">
        <v>4204.3669999999993</v>
      </c>
      <c r="V57" s="11"/>
      <c r="W57" s="11">
        <v>33880</v>
      </c>
      <c r="X57" s="11">
        <v>18945</v>
      </c>
      <c r="Y57" s="11"/>
      <c r="Z57" s="11">
        <v>2353</v>
      </c>
      <c r="AA57" s="11"/>
      <c r="AB57" s="11"/>
      <c r="AC57" s="11">
        <v>3</v>
      </c>
      <c r="AD57" s="11"/>
      <c r="AE57" s="11"/>
      <c r="AF57" s="11"/>
      <c r="AG57" s="11">
        <v>6866</v>
      </c>
      <c r="AH57" s="11"/>
      <c r="AI57" s="12">
        <f>SUM(B57:AH57)</f>
        <v>68410.366999999998</v>
      </c>
    </row>
    <row r="58" spans="1:35" x14ac:dyDescent="0.25">
      <c r="A58" s="31"/>
    </row>
    <row r="59" spans="1:35" x14ac:dyDescent="0.25">
      <c r="A59" s="32" t="s">
        <v>236</v>
      </c>
    </row>
    <row r="60" spans="1:35" x14ac:dyDescent="0.25">
      <c r="A60" s="4" t="s">
        <v>0</v>
      </c>
      <c r="B60" s="73" t="s">
        <v>1</v>
      </c>
      <c r="C60" s="73" t="s">
        <v>2</v>
      </c>
      <c r="D60" s="73" t="s">
        <v>3</v>
      </c>
      <c r="E60" s="73" t="s">
        <v>4</v>
      </c>
      <c r="F60" s="73" t="s">
        <v>5</v>
      </c>
      <c r="G60" s="73" t="s">
        <v>6</v>
      </c>
      <c r="H60" s="73" t="s">
        <v>7</v>
      </c>
      <c r="I60" s="73" t="s">
        <v>8</v>
      </c>
      <c r="J60" s="73" t="s">
        <v>9</v>
      </c>
      <c r="K60" s="73" t="s">
        <v>10</v>
      </c>
      <c r="L60" s="73" t="s">
        <v>11</v>
      </c>
      <c r="M60" s="73" t="s">
        <v>293</v>
      </c>
      <c r="N60" s="73" t="s">
        <v>12</v>
      </c>
      <c r="O60" s="73" t="s">
        <v>13</v>
      </c>
      <c r="P60" s="73" t="s">
        <v>14</v>
      </c>
      <c r="Q60" s="73" t="s">
        <v>15</v>
      </c>
      <c r="R60" s="73" t="s">
        <v>16</v>
      </c>
      <c r="S60" s="73" t="s">
        <v>295</v>
      </c>
      <c r="T60" s="73" t="s">
        <v>17</v>
      </c>
      <c r="U60" s="73" t="s">
        <v>18</v>
      </c>
      <c r="V60" s="73" t="s">
        <v>294</v>
      </c>
      <c r="W60" s="73" t="s">
        <v>19</v>
      </c>
      <c r="X60" s="73" t="s">
        <v>20</v>
      </c>
      <c r="Y60" s="73" t="s">
        <v>21</v>
      </c>
      <c r="Z60" s="73" t="s">
        <v>22</v>
      </c>
      <c r="AA60" s="73" t="s">
        <v>23</v>
      </c>
      <c r="AB60" s="73" t="s">
        <v>24</v>
      </c>
      <c r="AC60" s="73" t="s">
        <v>25</v>
      </c>
      <c r="AD60" s="73" t="s">
        <v>26</v>
      </c>
      <c r="AE60" s="73" t="s">
        <v>27</v>
      </c>
      <c r="AF60" s="73" t="s">
        <v>28</v>
      </c>
      <c r="AG60" s="72" t="s">
        <v>29</v>
      </c>
      <c r="AH60" s="96" t="s">
        <v>30</v>
      </c>
      <c r="AI60" s="46" t="s">
        <v>31</v>
      </c>
    </row>
    <row r="61" spans="1:35" x14ac:dyDescent="0.25">
      <c r="A61" s="33" t="s">
        <v>237</v>
      </c>
      <c r="B61" s="11">
        <f>B68-B54-B47-B40-B33-B26-B19-B12-B5</f>
        <v>-4789</v>
      </c>
      <c r="C61" s="11">
        <f t="shared" ref="C61:AH61" si="0">C68-C54-C47-C40-C33-C26-C19-C12-C5</f>
        <v>0</v>
      </c>
      <c r="D61" s="11">
        <f t="shared" si="0"/>
        <v>147017</v>
      </c>
      <c r="E61" s="11">
        <f t="shared" si="0"/>
        <v>195370</v>
      </c>
      <c r="F61" s="11">
        <f t="shared" si="0"/>
        <v>11583</v>
      </c>
      <c r="G61" s="11">
        <f t="shared" si="0"/>
        <v>7151</v>
      </c>
      <c r="H61" s="11">
        <f t="shared" si="0"/>
        <v>24</v>
      </c>
      <c r="I61" s="11">
        <f t="shared" si="0"/>
        <v>6480.22</v>
      </c>
      <c r="J61" s="11">
        <f t="shared" si="0"/>
        <v>39400</v>
      </c>
      <c r="K61" s="11">
        <f t="shared" si="0"/>
        <v>8497</v>
      </c>
      <c r="L61" s="11">
        <f t="shared" si="0"/>
        <v>124480</v>
      </c>
      <c r="M61" s="11">
        <f t="shared" si="0"/>
        <v>478</v>
      </c>
      <c r="N61" s="11">
        <f t="shared" si="0"/>
        <v>148695</v>
      </c>
      <c r="O61" s="11">
        <f t="shared" si="0"/>
        <v>110859</v>
      </c>
      <c r="P61" s="11">
        <f t="shared" si="0"/>
        <v>2471</v>
      </c>
      <c r="Q61" s="11">
        <f t="shared" si="0"/>
        <v>25932</v>
      </c>
      <c r="R61" s="11">
        <f t="shared" si="0"/>
        <v>1829</v>
      </c>
      <c r="S61" s="11">
        <f t="shared" si="0"/>
        <v>0</v>
      </c>
      <c r="T61" s="11">
        <f t="shared" si="0"/>
        <v>0</v>
      </c>
      <c r="U61" s="11">
        <f t="shared" si="0"/>
        <v>103424.66099999996</v>
      </c>
      <c r="V61" s="11">
        <f t="shared" si="0"/>
        <v>-3000</v>
      </c>
      <c r="W61" s="11">
        <f t="shared" si="0"/>
        <v>440644</v>
      </c>
      <c r="X61" s="11">
        <f t="shared" si="0"/>
        <v>198303</v>
      </c>
      <c r="Y61" s="11">
        <f t="shared" si="0"/>
        <v>21094</v>
      </c>
      <c r="Z61" s="11">
        <f t="shared" si="0"/>
        <v>16047</v>
      </c>
      <c r="AA61" s="11">
        <f t="shared" si="0"/>
        <v>0</v>
      </c>
      <c r="AB61" s="11">
        <f t="shared" si="0"/>
        <v>4257</v>
      </c>
      <c r="AC61" s="11">
        <f t="shared" si="0"/>
        <v>37921</v>
      </c>
      <c r="AD61" s="11">
        <f t="shared" si="0"/>
        <v>3097</v>
      </c>
      <c r="AE61" s="11">
        <f t="shared" si="0"/>
        <v>2105633</v>
      </c>
      <c r="AF61" s="11">
        <f t="shared" si="0"/>
        <v>42114</v>
      </c>
      <c r="AG61" s="11">
        <f t="shared" si="0"/>
        <v>212676</v>
      </c>
      <c r="AH61" s="11">
        <f t="shared" si="0"/>
        <v>24750</v>
      </c>
      <c r="AI61" s="12">
        <f>SUM(B61:AH61)</f>
        <v>4032437.8810000001</v>
      </c>
    </row>
    <row r="62" spans="1:35" x14ac:dyDescent="0.25">
      <c r="A62" s="33" t="s">
        <v>288</v>
      </c>
      <c r="B62" s="11">
        <f t="shared" ref="B62:AH62" si="1">B69-B55-B48-B41-B34-B27-B20-B13-B6</f>
        <v>0</v>
      </c>
      <c r="C62" s="11">
        <f t="shared" si="1"/>
        <v>0</v>
      </c>
      <c r="D62" s="11">
        <f t="shared" si="1"/>
        <v>0</v>
      </c>
      <c r="E62" s="11">
        <f t="shared" si="1"/>
        <v>723</v>
      </c>
      <c r="F62" s="11">
        <f t="shared" si="1"/>
        <v>0</v>
      </c>
      <c r="G62" s="11">
        <f t="shared" si="1"/>
        <v>42</v>
      </c>
      <c r="H62" s="11">
        <f t="shared" si="1"/>
        <v>69</v>
      </c>
      <c r="I62" s="11">
        <f t="shared" si="1"/>
        <v>0</v>
      </c>
      <c r="J62" s="11">
        <f t="shared" si="1"/>
        <v>0</v>
      </c>
      <c r="K62" s="11">
        <f t="shared" si="1"/>
        <v>6871</v>
      </c>
      <c r="L62" s="11">
        <f t="shared" si="1"/>
        <v>14999</v>
      </c>
      <c r="M62" s="11">
        <f t="shared" si="1"/>
        <v>0</v>
      </c>
      <c r="N62" s="11">
        <f t="shared" si="1"/>
        <v>4246</v>
      </c>
      <c r="O62" s="11">
        <f t="shared" si="1"/>
        <v>1042</v>
      </c>
      <c r="P62" s="11">
        <f t="shared" si="1"/>
        <v>11</v>
      </c>
      <c r="Q62" s="11">
        <f t="shared" si="1"/>
        <v>22</v>
      </c>
      <c r="R62" s="11">
        <f t="shared" si="1"/>
        <v>70</v>
      </c>
      <c r="S62" s="11">
        <f t="shared" si="1"/>
        <v>0</v>
      </c>
      <c r="T62" s="11">
        <f t="shared" si="1"/>
        <v>0</v>
      </c>
      <c r="U62" s="11">
        <f t="shared" si="1"/>
        <v>7682.4749999999913</v>
      </c>
      <c r="V62" s="11">
        <f t="shared" si="1"/>
        <v>0</v>
      </c>
      <c r="W62" s="11">
        <f t="shared" si="1"/>
        <v>3936</v>
      </c>
      <c r="X62" s="11">
        <f t="shared" si="1"/>
        <v>1336</v>
      </c>
      <c r="Y62" s="11">
        <f t="shared" si="1"/>
        <v>4091</v>
      </c>
      <c r="Z62" s="11">
        <f t="shared" si="1"/>
        <v>269</v>
      </c>
      <c r="AA62" s="11">
        <f t="shared" si="1"/>
        <v>0</v>
      </c>
      <c r="AB62" s="11">
        <f t="shared" si="1"/>
        <v>8</v>
      </c>
      <c r="AC62" s="11">
        <f t="shared" si="1"/>
        <v>-281419</v>
      </c>
      <c r="AD62" s="11">
        <f t="shared" si="1"/>
        <v>2</v>
      </c>
      <c r="AE62" s="11">
        <f t="shared" si="1"/>
        <v>0</v>
      </c>
      <c r="AF62" s="11">
        <f t="shared" si="1"/>
        <v>214</v>
      </c>
      <c r="AG62" s="11">
        <f t="shared" si="1"/>
        <v>213</v>
      </c>
      <c r="AH62" s="11">
        <f t="shared" si="1"/>
        <v>0</v>
      </c>
      <c r="AI62" s="12">
        <f>SUM(B62:AH62)</f>
        <v>-235572.52500000002</v>
      </c>
    </row>
    <row r="63" spans="1:35" x14ac:dyDescent="0.25">
      <c r="A63" s="33" t="s">
        <v>289</v>
      </c>
      <c r="B63" s="11">
        <f t="shared" ref="B63:AH63" si="2">B70-B56-B49-B42-B35-B28-B21-B14-B7</f>
        <v>7573</v>
      </c>
      <c r="C63" s="11">
        <f t="shared" si="2"/>
        <v>0</v>
      </c>
      <c r="D63" s="11">
        <f t="shared" si="2"/>
        <v>100096</v>
      </c>
      <c r="E63" s="11">
        <f t="shared" si="2"/>
        <v>185595</v>
      </c>
      <c r="F63" s="11">
        <f t="shared" si="2"/>
        <v>10847</v>
      </c>
      <c r="G63" s="11">
        <f t="shared" si="2"/>
        <v>1614</v>
      </c>
      <c r="H63" s="11">
        <f t="shared" si="2"/>
        <v>37</v>
      </c>
      <c r="I63" s="11">
        <f t="shared" si="2"/>
        <v>56706.95</v>
      </c>
      <c r="J63" s="11">
        <f t="shared" si="2"/>
        <v>51862</v>
      </c>
      <c r="K63" s="11">
        <f t="shared" si="2"/>
        <v>11877</v>
      </c>
      <c r="L63" s="11">
        <f t="shared" si="2"/>
        <v>-145333</v>
      </c>
      <c r="M63" s="11">
        <f t="shared" si="2"/>
        <v>35</v>
      </c>
      <c r="N63" s="11">
        <f t="shared" si="2"/>
        <v>78504</v>
      </c>
      <c r="O63" s="11">
        <f t="shared" si="2"/>
        <v>153350</v>
      </c>
      <c r="P63" s="11">
        <f t="shared" si="2"/>
        <v>1068</v>
      </c>
      <c r="Q63" s="11">
        <f t="shared" si="2"/>
        <v>19484</v>
      </c>
      <c r="R63" s="11">
        <f t="shared" si="2"/>
        <v>-4137</v>
      </c>
      <c r="S63" s="11">
        <f t="shared" si="2"/>
        <v>0</v>
      </c>
      <c r="T63" s="11">
        <f t="shared" si="2"/>
        <v>0</v>
      </c>
      <c r="U63" s="11">
        <f t="shared" si="2"/>
        <v>16970.548888400022</v>
      </c>
      <c r="V63" s="11">
        <f t="shared" si="2"/>
        <v>-108</v>
      </c>
      <c r="W63" s="11">
        <f t="shared" si="2"/>
        <v>53664</v>
      </c>
      <c r="X63" s="11">
        <f t="shared" si="2"/>
        <v>21440</v>
      </c>
      <c r="Y63" s="11">
        <f t="shared" si="2"/>
        <v>4489</v>
      </c>
      <c r="Z63" s="11">
        <f t="shared" si="2"/>
        <v>97478</v>
      </c>
      <c r="AA63" s="11">
        <f t="shared" si="2"/>
        <v>0</v>
      </c>
      <c r="AB63" s="11">
        <f t="shared" si="2"/>
        <v>-3833</v>
      </c>
      <c r="AC63" s="11">
        <f t="shared" si="2"/>
        <v>336315</v>
      </c>
      <c r="AD63" s="11">
        <f t="shared" si="2"/>
        <v>1021</v>
      </c>
      <c r="AE63" s="11">
        <f t="shared" si="2"/>
        <v>979973</v>
      </c>
      <c r="AF63" s="11">
        <f t="shared" si="2"/>
        <v>27162</v>
      </c>
      <c r="AG63" s="11">
        <f t="shared" si="2"/>
        <v>91624</v>
      </c>
      <c r="AH63" s="11">
        <f t="shared" si="2"/>
        <v>38578</v>
      </c>
      <c r="AI63" s="12">
        <f>SUM(B63:AH63)</f>
        <v>2193952.4988883999</v>
      </c>
    </row>
    <row r="64" spans="1:35" x14ac:dyDescent="0.25">
      <c r="A64" s="33" t="s">
        <v>238</v>
      </c>
      <c r="B64" s="11">
        <f>B71-B57-B50-B43-B36-B29-B22-B15-B8</f>
        <v>-12362</v>
      </c>
      <c r="C64" s="11">
        <f t="shared" ref="C64:AH64" si="3">C71-C57-C50-C43-C36-C29-C22-C15-C8</f>
        <v>0</v>
      </c>
      <c r="D64" s="11">
        <f t="shared" si="3"/>
        <v>46921</v>
      </c>
      <c r="E64" s="11">
        <f t="shared" si="3"/>
        <v>10498</v>
      </c>
      <c r="F64" s="11">
        <f t="shared" si="3"/>
        <v>739</v>
      </c>
      <c r="G64" s="11">
        <f t="shared" si="3"/>
        <v>5579</v>
      </c>
      <c r="H64" s="11">
        <f t="shared" si="3"/>
        <v>56</v>
      </c>
      <c r="I64" s="11">
        <f t="shared" si="3"/>
        <v>-50226.73</v>
      </c>
      <c r="J64" s="11">
        <f t="shared" si="3"/>
        <v>-12460</v>
      </c>
      <c r="K64" s="11">
        <f t="shared" si="3"/>
        <v>3494</v>
      </c>
      <c r="L64" s="11">
        <f t="shared" si="3"/>
        <v>-5854</v>
      </c>
      <c r="M64" s="11">
        <f t="shared" si="3"/>
        <v>443</v>
      </c>
      <c r="N64" s="11">
        <f t="shared" si="3"/>
        <v>74437</v>
      </c>
      <c r="O64" s="11">
        <f t="shared" si="3"/>
        <v>-41449</v>
      </c>
      <c r="P64" s="11">
        <f t="shared" si="3"/>
        <v>1414</v>
      </c>
      <c r="Q64" s="11">
        <f t="shared" si="3"/>
        <v>6469</v>
      </c>
      <c r="R64" s="11">
        <f t="shared" si="3"/>
        <v>-2238</v>
      </c>
      <c r="S64" s="11">
        <f t="shared" si="3"/>
        <v>0</v>
      </c>
      <c r="T64" s="11">
        <f t="shared" si="3"/>
        <v>0</v>
      </c>
      <c r="U64" s="11">
        <f t="shared" si="3"/>
        <v>94137.587111600384</v>
      </c>
      <c r="V64" s="11">
        <f t="shared" si="3"/>
        <v>-108</v>
      </c>
      <c r="W64" s="11">
        <f t="shared" si="3"/>
        <v>390914</v>
      </c>
      <c r="X64" s="11">
        <f t="shared" si="3"/>
        <v>178199</v>
      </c>
      <c r="Y64" s="11">
        <f t="shared" si="3"/>
        <v>20699</v>
      </c>
      <c r="Z64" s="11">
        <f t="shared" si="3"/>
        <v>-81162</v>
      </c>
      <c r="AA64" s="11">
        <f t="shared" si="3"/>
        <v>0</v>
      </c>
      <c r="AB64" s="11">
        <f t="shared" si="3"/>
        <v>432</v>
      </c>
      <c r="AC64" s="11">
        <f t="shared" si="3"/>
        <v>-29178</v>
      </c>
      <c r="AD64" s="11">
        <f t="shared" si="3"/>
        <v>2082</v>
      </c>
      <c r="AE64" s="11">
        <f t="shared" si="3"/>
        <v>1125660</v>
      </c>
      <c r="AF64" s="11">
        <f t="shared" si="3"/>
        <v>15166</v>
      </c>
      <c r="AG64" s="11">
        <f t="shared" si="3"/>
        <v>121265</v>
      </c>
      <c r="AH64" s="11">
        <f t="shared" si="3"/>
        <v>-13828</v>
      </c>
      <c r="AI64" s="12">
        <f>SUM(B64:AH64)</f>
        <v>1849738.8571116002</v>
      </c>
    </row>
    <row r="65" spans="1:35" x14ac:dyDescent="0.25">
      <c r="A65" s="31"/>
    </row>
    <row r="66" spans="1:35" x14ac:dyDescent="0.25">
      <c r="A66" s="32" t="s">
        <v>52</v>
      </c>
    </row>
    <row r="67" spans="1:35" x14ac:dyDescent="0.25">
      <c r="A67" s="4" t="s">
        <v>0</v>
      </c>
      <c r="B67" s="73" t="s">
        <v>1</v>
      </c>
      <c r="C67" s="73" t="s">
        <v>2</v>
      </c>
      <c r="D67" s="73" t="s">
        <v>3</v>
      </c>
      <c r="E67" s="73" t="s">
        <v>4</v>
      </c>
      <c r="F67" s="73" t="s">
        <v>5</v>
      </c>
      <c r="G67" s="73" t="s">
        <v>6</v>
      </c>
      <c r="H67" s="73" t="s">
        <v>7</v>
      </c>
      <c r="I67" s="73" t="s">
        <v>8</v>
      </c>
      <c r="J67" s="73" t="s">
        <v>9</v>
      </c>
      <c r="K67" s="73" t="s">
        <v>10</v>
      </c>
      <c r="L67" s="73" t="s">
        <v>11</v>
      </c>
      <c r="M67" s="73" t="s">
        <v>293</v>
      </c>
      <c r="N67" s="73" t="s">
        <v>12</v>
      </c>
      <c r="O67" s="73" t="s">
        <v>13</v>
      </c>
      <c r="P67" s="73" t="s">
        <v>14</v>
      </c>
      <c r="Q67" s="73" t="s">
        <v>15</v>
      </c>
      <c r="R67" s="73" t="s">
        <v>16</v>
      </c>
      <c r="S67" s="73" t="s">
        <v>295</v>
      </c>
      <c r="T67" s="73" t="s">
        <v>17</v>
      </c>
      <c r="U67" s="73" t="s">
        <v>18</v>
      </c>
      <c r="V67" s="73" t="s">
        <v>294</v>
      </c>
      <c r="W67" s="73" t="s">
        <v>19</v>
      </c>
      <c r="X67" s="73" t="s">
        <v>20</v>
      </c>
      <c r="Y67" s="73" t="s">
        <v>21</v>
      </c>
      <c r="Z67" s="73" t="s">
        <v>22</v>
      </c>
      <c r="AA67" s="73" t="s">
        <v>23</v>
      </c>
      <c r="AB67" s="73" t="s">
        <v>24</v>
      </c>
      <c r="AC67" s="73" t="s">
        <v>25</v>
      </c>
      <c r="AD67" s="73" t="s">
        <v>26</v>
      </c>
      <c r="AE67" s="73" t="s">
        <v>27</v>
      </c>
      <c r="AF67" s="73" t="s">
        <v>28</v>
      </c>
      <c r="AG67" s="72" t="s">
        <v>29</v>
      </c>
      <c r="AH67" s="96" t="s">
        <v>30</v>
      </c>
      <c r="AI67" s="46" t="s">
        <v>31</v>
      </c>
    </row>
    <row r="68" spans="1:35" x14ac:dyDescent="0.25">
      <c r="A68" s="33" t="s">
        <v>237</v>
      </c>
      <c r="B68" s="11">
        <v>9142</v>
      </c>
      <c r="C68" s="11">
        <v>299328</v>
      </c>
      <c r="D68" s="11">
        <v>147017</v>
      </c>
      <c r="E68" s="11">
        <v>1713606</v>
      </c>
      <c r="F68" s="11">
        <v>461331</v>
      </c>
      <c r="G68" s="11">
        <v>618869</v>
      </c>
      <c r="H68" s="11">
        <v>36460</v>
      </c>
      <c r="I68" s="11">
        <v>6480.22</v>
      </c>
      <c r="J68" s="11">
        <v>456337</v>
      </c>
      <c r="K68" s="11">
        <v>213473</v>
      </c>
      <c r="L68" s="11">
        <v>1441028</v>
      </c>
      <c r="M68" s="11">
        <v>601907</v>
      </c>
      <c r="N68" s="11">
        <v>2700335</v>
      </c>
      <c r="O68" s="11">
        <v>1399573</v>
      </c>
      <c r="P68" s="11">
        <v>84820</v>
      </c>
      <c r="Q68" s="11">
        <v>316906</v>
      </c>
      <c r="R68" s="11">
        <v>138384</v>
      </c>
      <c r="S68" s="11">
        <v>158117</v>
      </c>
      <c r="T68" s="11">
        <v>355471</v>
      </c>
      <c r="U68" s="11">
        <v>2006426.6643600003</v>
      </c>
      <c r="V68" s="11">
        <v>4580</v>
      </c>
      <c r="W68" s="11">
        <v>6823064</v>
      </c>
      <c r="X68" s="11">
        <v>1955231</v>
      </c>
      <c r="Y68" s="11">
        <v>44227</v>
      </c>
      <c r="Z68" s="11">
        <v>1032930</v>
      </c>
      <c r="AA68" s="11">
        <v>646604</v>
      </c>
      <c r="AB68" s="11">
        <v>665197</v>
      </c>
      <c r="AC68" s="11">
        <v>950109</v>
      </c>
      <c r="AD68" s="11">
        <v>253067</v>
      </c>
      <c r="AE68" s="11">
        <v>2105633</v>
      </c>
      <c r="AF68" s="11">
        <v>1761896</v>
      </c>
      <c r="AG68" s="11">
        <v>2426785</v>
      </c>
      <c r="AH68" s="11">
        <v>351634</v>
      </c>
      <c r="AI68" s="12">
        <f>SUM(B68:AH68)</f>
        <v>32185967.88436</v>
      </c>
    </row>
    <row r="69" spans="1:35" x14ac:dyDescent="0.25">
      <c r="A69" s="33" t="s">
        <v>288</v>
      </c>
      <c r="B69" s="11"/>
      <c r="C69" s="11"/>
      <c r="D69" s="11">
        <v>0</v>
      </c>
      <c r="E69" s="11">
        <v>18864</v>
      </c>
      <c r="F69" s="11">
        <v>7696</v>
      </c>
      <c r="G69" s="11">
        <v>836</v>
      </c>
      <c r="H69" s="11">
        <v>4225</v>
      </c>
      <c r="I69" s="11"/>
      <c r="J69" s="11">
        <v>27545</v>
      </c>
      <c r="K69" s="11">
        <v>243678</v>
      </c>
      <c r="L69" s="11">
        <v>53213</v>
      </c>
      <c r="M69" s="11"/>
      <c r="N69" s="11">
        <v>97931</v>
      </c>
      <c r="O69" s="11">
        <v>22760</v>
      </c>
      <c r="P69" s="11">
        <v>578</v>
      </c>
      <c r="Q69" s="11">
        <v>445</v>
      </c>
      <c r="R69" s="11">
        <v>21662</v>
      </c>
      <c r="S69" s="11"/>
      <c r="T69" s="11"/>
      <c r="U69" s="11">
        <v>91046.676999999996</v>
      </c>
      <c r="V69" s="11">
        <v>163</v>
      </c>
      <c r="W69" s="11">
        <v>653267</v>
      </c>
      <c r="X69" s="11">
        <v>38644</v>
      </c>
      <c r="Y69" s="11">
        <v>6093</v>
      </c>
      <c r="Z69" s="11">
        <v>13047</v>
      </c>
      <c r="AA69" s="11">
        <v>1316</v>
      </c>
      <c r="AB69" s="11">
        <v>24020</v>
      </c>
      <c r="AC69" s="11">
        <v>12264</v>
      </c>
      <c r="AD69" s="11">
        <v>2911</v>
      </c>
      <c r="AE69" s="11"/>
      <c r="AF69" s="11">
        <v>65740</v>
      </c>
      <c r="AG69" s="11">
        <v>64365</v>
      </c>
      <c r="AH69" s="11">
        <v>811</v>
      </c>
      <c r="AI69" s="12">
        <f>SUM(B69:AH69)</f>
        <v>1473120.6770000001</v>
      </c>
    </row>
    <row r="70" spans="1:35" x14ac:dyDescent="0.25">
      <c r="A70" s="33" t="s">
        <v>289</v>
      </c>
      <c r="B70" s="11">
        <v>33901</v>
      </c>
      <c r="C70" s="11">
        <v>184773</v>
      </c>
      <c r="D70" s="11">
        <v>100096</v>
      </c>
      <c r="E70" s="11">
        <v>1867486</v>
      </c>
      <c r="F70" s="11">
        <v>241636</v>
      </c>
      <c r="G70" s="11">
        <v>534627</v>
      </c>
      <c r="H70" s="11">
        <v>14219</v>
      </c>
      <c r="I70" s="11">
        <v>56706.95</v>
      </c>
      <c r="J70" s="11">
        <v>272082</v>
      </c>
      <c r="K70" s="11">
        <v>385623</v>
      </c>
      <c r="L70" s="11">
        <v>-1588990</v>
      </c>
      <c r="M70" s="11">
        <v>407840</v>
      </c>
      <c r="N70" s="11">
        <v>1782040</v>
      </c>
      <c r="O70" s="11">
        <v>904035</v>
      </c>
      <c r="P70" s="11">
        <v>26212</v>
      </c>
      <c r="Q70" s="11">
        <v>87131</v>
      </c>
      <c r="R70" s="11">
        <v>-260816</v>
      </c>
      <c r="S70" s="11">
        <v>9238</v>
      </c>
      <c r="T70" s="11">
        <v>293729</v>
      </c>
      <c r="U70" s="11">
        <v>357680.78399999999</v>
      </c>
      <c r="V70" s="11">
        <v>1003</v>
      </c>
      <c r="W70" s="11">
        <v>1230883</v>
      </c>
      <c r="X70" s="11">
        <v>485584</v>
      </c>
      <c r="Y70" s="11">
        <v>9952</v>
      </c>
      <c r="Z70" s="11">
        <v>992732</v>
      </c>
      <c r="AA70" s="11">
        <v>677153</v>
      </c>
      <c r="AB70" s="11">
        <v>-311286</v>
      </c>
      <c r="AC70" s="11">
        <v>977217</v>
      </c>
      <c r="AD70" s="11">
        <v>26282</v>
      </c>
      <c r="AE70" s="11">
        <v>979973</v>
      </c>
      <c r="AF70" s="11">
        <v>1499483</v>
      </c>
      <c r="AG70" s="11">
        <v>565100</v>
      </c>
      <c r="AH70" s="11">
        <v>145047</v>
      </c>
      <c r="AI70" s="12">
        <f>SUM(B70:AH70)</f>
        <v>12988372.734000001</v>
      </c>
    </row>
    <row r="71" spans="1:35" x14ac:dyDescent="0.25">
      <c r="A71" s="33" t="s">
        <v>238</v>
      </c>
      <c r="B71" s="11">
        <v>-24759</v>
      </c>
      <c r="C71" s="11">
        <v>114555</v>
      </c>
      <c r="D71" s="11">
        <v>46921</v>
      </c>
      <c r="E71" s="11">
        <v>-135016</v>
      </c>
      <c r="F71" s="11">
        <v>227391</v>
      </c>
      <c r="G71" s="11">
        <v>85078</v>
      </c>
      <c r="H71" s="11">
        <v>26466</v>
      </c>
      <c r="I71" s="11">
        <v>-50226.73</v>
      </c>
      <c r="J71" s="11">
        <v>211800</v>
      </c>
      <c r="K71" s="11">
        <v>71529</v>
      </c>
      <c r="L71" s="11">
        <v>-94749</v>
      </c>
      <c r="M71" s="11">
        <v>194067</v>
      </c>
      <c r="N71" s="11">
        <v>1016226</v>
      </c>
      <c r="O71" s="11">
        <v>518298</v>
      </c>
      <c r="P71" s="11">
        <v>59186</v>
      </c>
      <c r="Q71" s="11">
        <v>230220</v>
      </c>
      <c r="R71" s="11">
        <v>-100770</v>
      </c>
      <c r="S71" s="11">
        <v>148879</v>
      </c>
      <c r="T71" s="11">
        <v>61742</v>
      </c>
      <c r="U71" s="11">
        <v>1739792.5573600004</v>
      </c>
      <c r="V71" s="11">
        <v>5746</v>
      </c>
      <c r="W71" s="11">
        <v>6245447</v>
      </c>
      <c r="X71" s="11">
        <v>1508291</v>
      </c>
      <c r="Y71" s="11">
        <v>40369</v>
      </c>
      <c r="Z71" s="11">
        <v>53245</v>
      </c>
      <c r="AA71" s="11">
        <v>-29233</v>
      </c>
      <c r="AB71" s="11">
        <v>377931</v>
      </c>
      <c r="AC71" s="11">
        <v>-14844</v>
      </c>
      <c r="AD71" s="11">
        <v>229696</v>
      </c>
      <c r="AE71" s="11">
        <v>1125660</v>
      </c>
      <c r="AF71" s="11">
        <v>328153</v>
      </c>
      <c r="AG71" s="11">
        <v>1926050</v>
      </c>
      <c r="AH71" s="11">
        <v>207398</v>
      </c>
      <c r="AI71" s="12">
        <f>SUM(B71:AH71)</f>
        <v>16350538.82736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5.7109375" style="8" customWidth="1"/>
    <col min="2" max="34" width="16" style="8" customWidth="1"/>
    <col min="35" max="35" width="16" style="9" customWidth="1"/>
    <col min="36" max="16384" width="9.140625" style="8"/>
  </cols>
  <sheetData>
    <row r="1" spans="1:35" ht="18.75" x14ac:dyDescent="0.3">
      <c r="A1" s="6" t="s">
        <v>214</v>
      </c>
    </row>
    <row r="2" spans="1:35" x14ac:dyDescent="0.25">
      <c r="A2" s="7" t="s">
        <v>44</v>
      </c>
    </row>
    <row r="3" spans="1:35" x14ac:dyDescent="0.25">
      <c r="A3" s="1" t="s">
        <v>0</v>
      </c>
      <c r="B3" s="73" t="s">
        <v>1</v>
      </c>
      <c r="C3" s="73" t="s">
        <v>2</v>
      </c>
      <c r="D3" s="73" t="s">
        <v>3</v>
      </c>
      <c r="E3" s="73" t="s">
        <v>4</v>
      </c>
      <c r="F3" s="73" t="s">
        <v>5</v>
      </c>
      <c r="G3" s="73" t="s">
        <v>6</v>
      </c>
      <c r="H3" s="73" t="s">
        <v>7</v>
      </c>
      <c r="I3" s="73" t="s">
        <v>8</v>
      </c>
      <c r="J3" s="73" t="s">
        <v>9</v>
      </c>
      <c r="K3" s="73" t="s">
        <v>10</v>
      </c>
      <c r="L3" s="73" t="s">
        <v>11</v>
      </c>
      <c r="M3" s="73" t="s">
        <v>293</v>
      </c>
      <c r="N3" s="73" t="s">
        <v>12</v>
      </c>
      <c r="O3" s="73" t="s">
        <v>13</v>
      </c>
      <c r="P3" s="73" t="s">
        <v>14</v>
      </c>
      <c r="Q3" s="73" t="s">
        <v>15</v>
      </c>
      <c r="R3" s="73" t="s">
        <v>16</v>
      </c>
      <c r="S3" s="73" t="s">
        <v>295</v>
      </c>
      <c r="T3" s="73" t="s">
        <v>17</v>
      </c>
      <c r="U3" s="73" t="s">
        <v>18</v>
      </c>
      <c r="V3" s="73" t="s">
        <v>294</v>
      </c>
      <c r="W3" s="73" t="s">
        <v>19</v>
      </c>
      <c r="X3" s="73" t="s">
        <v>20</v>
      </c>
      <c r="Y3" s="73" t="s">
        <v>21</v>
      </c>
      <c r="Z3" s="73" t="s">
        <v>22</v>
      </c>
      <c r="AA3" s="73" t="s">
        <v>23</v>
      </c>
      <c r="AB3" s="73" t="s">
        <v>24</v>
      </c>
      <c r="AC3" s="73" t="s">
        <v>25</v>
      </c>
      <c r="AD3" s="73" t="s">
        <v>26</v>
      </c>
      <c r="AE3" s="73" t="s">
        <v>27</v>
      </c>
      <c r="AF3" s="73" t="s">
        <v>28</v>
      </c>
      <c r="AG3" s="72" t="s">
        <v>29</v>
      </c>
      <c r="AH3" s="96" t="s">
        <v>30</v>
      </c>
      <c r="AI3" s="58" t="s">
        <v>31</v>
      </c>
    </row>
    <row r="4" spans="1:35" x14ac:dyDescent="0.25">
      <c r="A4" s="29" t="s">
        <v>215</v>
      </c>
      <c r="B4" s="11">
        <v>84572</v>
      </c>
      <c r="C4" s="11">
        <v>746923</v>
      </c>
      <c r="D4" s="11">
        <v>132201</v>
      </c>
      <c r="E4" s="11">
        <v>1862474</v>
      </c>
      <c r="F4" s="11">
        <v>527989</v>
      </c>
      <c r="G4" s="11">
        <v>378889</v>
      </c>
      <c r="H4" s="11">
        <v>117355</v>
      </c>
      <c r="I4" s="11">
        <v>279717.09000000003</v>
      </c>
      <c r="J4" s="11">
        <v>580534</v>
      </c>
      <c r="K4" s="11">
        <v>380472</v>
      </c>
      <c r="L4" s="11">
        <v>925241</v>
      </c>
      <c r="M4" s="11">
        <v>487017</v>
      </c>
      <c r="N4" s="11">
        <v>2038872</v>
      </c>
      <c r="O4" s="11">
        <v>953879</v>
      </c>
      <c r="P4" s="11">
        <v>199798</v>
      </c>
      <c r="Q4" s="11">
        <v>387780</v>
      </c>
      <c r="R4" s="11">
        <v>272581</v>
      </c>
      <c r="S4" s="11">
        <v>320319</v>
      </c>
      <c r="T4" s="11">
        <v>565294</v>
      </c>
      <c r="U4" s="11">
        <v>6555738</v>
      </c>
      <c r="V4" s="11">
        <v>77474</v>
      </c>
      <c r="W4" s="11">
        <v>14915846</v>
      </c>
      <c r="X4" s="11">
        <v>8736934</v>
      </c>
      <c r="Y4" s="11">
        <v>103510</v>
      </c>
      <c r="Z4" s="11">
        <v>1190750</v>
      </c>
      <c r="AA4" s="11">
        <v>927438</v>
      </c>
      <c r="AB4" s="11">
        <v>492419</v>
      </c>
      <c r="AC4" s="11">
        <v>922584</v>
      </c>
      <c r="AD4" s="11">
        <v>251623</v>
      </c>
      <c r="AE4" s="11">
        <v>2100913</v>
      </c>
      <c r="AF4" s="11">
        <v>1214703</v>
      </c>
      <c r="AG4" s="11">
        <v>7495136</v>
      </c>
      <c r="AH4" s="11">
        <v>184707</v>
      </c>
      <c r="AI4" s="12">
        <f t="shared" ref="AI4:AI17" si="0">SUM(B4:AH4)</f>
        <v>56411682.090000004</v>
      </c>
    </row>
    <row r="5" spans="1:35" x14ac:dyDescent="0.25">
      <c r="A5" s="29" t="s">
        <v>216</v>
      </c>
      <c r="B5" s="11">
        <v>195</v>
      </c>
      <c r="C5" s="11">
        <v>2732</v>
      </c>
      <c r="D5" s="11">
        <v>711</v>
      </c>
      <c r="E5" s="11">
        <v>8132</v>
      </c>
      <c r="F5" s="11">
        <v>7418</v>
      </c>
      <c r="G5" s="11">
        <v>5294</v>
      </c>
      <c r="H5" s="11">
        <v>1218</v>
      </c>
      <c r="I5" s="11">
        <v>6985.73</v>
      </c>
      <c r="J5" s="11">
        <v>10051</v>
      </c>
      <c r="K5" s="11">
        <v>1399</v>
      </c>
      <c r="L5" s="11">
        <v>335</v>
      </c>
      <c r="M5" s="11">
        <v>1319</v>
      </c>
      <c r="N5" s="11">
        <v>27442</v>
      </c>
      <c r="O5" s="11">
        <v>5953</v>
      </c>
      <c r="P5" s="11">
        <v>1693</v>
      </c>
      <c r="Q5" s="11">
        <v>559</v>
      </c>
      <c r="R5" s="11">
        <v>907</v>
      </c>
      <c r="S5" s="11">
        <v>20</v>
      </c>
      <c r="T5" s="11">
        <v>10364</v>
      </c>
      <c r="U5" s="11">
        <v>30976</v>
      </c>
      <c r="V5" s="11">
        <v>104</v>
      </c>
      <c r="W5" s="11">
        <v>48885</v>
      </c>
      <c r="X5" s="11">
        <v>29470</v>
      </c>
      <c r="Y5" s="11">
        <v>249</v>
      </c>
      <c r="Z5" s="11">
        <v>4383</v>
      </c>
      <c r="AA5" s="11">
        <v>24701</v>
      </c>
      <c r="AB5" s="11">
        <v>2223</v>
      </c>
      <c r="AC5" s="11">
        <v>11292</v>
      </c>
      <c r="AD5" s="11">
        <v>9506</v>
      </c>
      <c r="AE5" s="11">
        <v>14330</v>
      </c>
      <c r="AF5" s="11">
        <v>-296</v>
      </c>
      <c r="AG5" s="11">
        <v>27012</v>
      </c>
      <c r="AH5" s="11">
        <v>2512</v>
      </c>
      <c r="AI5" s="12">
        <f t="shared" si="0"/>
        <v>298074.73</v>
      </c>
    </row>
    <row r="6" spans="1:35" x14ac:dyDescent="0.25">
      <c r="A6" s="29" t="s">
        <v>217</v>
      </c>
      <c r="B6" s="11"/>
      <c r="C6" s="11">
        <v>11180</v>
      </c>
      <c r="D6" s="11">
        <v>0</v>
      </c>
      <c r="E6" s="11">
        <v>11</v>
      </c>
      <c r="F6" s="11">
        <v>13830</v>
      </c>
      <c r="G6" s="11">
        <v>6946</v>
      </c>
      <c r="H6" s="11">
        <v>666</v>
      </c>
      <c r="I6" s="11"/>
      <c r="J6" s="11">
        <v>66151</v>
      </c>
      <c r="K6" s="11">
        <v>2982</v>
      </c>
      <c r="L6" s="11">
        <v>33453</v>
      </c>
      <c r="M6" s="11">
        <v>27</v>
      </c>
      <c r="N6" s="11">
        <v>17670</v>
      </c>
      <c r="O6" s="11">
        <v>349</v>
      </c>
      <c r="P6" s="11">
        <v>6</v>
      </c>
      <c r="Q6" s="11">
        <v>8889</v>
      </c>
      <c r="R6" s="11">
        <v>193</v>
      </c>
      <c r="S6" s="11">
        <v>-26460</v>
      </c>
      <c r="T6" s="11">
        <v>13593</v>
      </c>
      <c r="U6" s="11">
        <v>1023</v>
      </c>
      <c r="V6" s="11">
        <v>-7500</v>
      </c>
      <c r="W6" s="11">
        <v>1175</v>
      </c>
      <c r="X6" s="11">
        <v>3271</v>
      </c>
      <c r="Y6" s="11"/>
      <c r="Z6" s="11"/>
      <c r="AA6" s="11">
        <v>12811</v>
      </c>
      <c r="AB6" s="11">
        <v>1057</v>
      </c>
      <c r="AC6" s="11">
        <v>3565</v>
      </c>
      <c r="AD6" s="11">
        <v>2663</v>
      </c>
      <c r="AE6" s="11">
        <v>1457</v>
      </c>
      <c r="AF6" s="11">
        <v>3235</v>
      </c>
      <c r="AG6" s="11">
        <v>540</v>
      </c>
      <c r="AH6" s="11">
        <v>200</v>
      </c>
      <c r="AI6" s="12">
        <f t="shared" si="0"/>
        <v>172983</v>
      </c>
    </row>
    <row r="7" spans="1:35" x14ac:dyDescent="0.25">
      <c r="A7" s="29" t="s">
        <v>218</v>
      </c>
      <c r="B7" s="11">
        <v>13561</v>
      </c>
      <c r="C7" s="11">
        <v>24553</v>
      </c>
      <c r="D7" s="11">
        <v>18502</v>
      </c>
      <c r="E7" s="11">
        <v>99522</v>
      </c>
      <c r="F7" s="11">
        <v>57535</v>
      </c>
      <c r="G7" s="11">
        <v>31941</v>
      </c>
      <c r="H7" s="11">
        <v>13511</v>
      </c>
      <c r="I7" s="11">
        <v>58998.9</v>
      </c>
      <c r="J7" s="11">
        <v>45821</v>
      </c>
      <c r="K7" s="11">
        <v>18742</v>
      </c>
      <c r="L7" s="11">
        <v>101699</v>
      </c>
      <c r="M7" s="11">
        <f>4440+44404</f>
        <v>48844</v>
      </c>
      <c r="N7" s="11">
        <v>216937</v>
      </c>
      <c r="O7" s="11">
        <v>109979</v>
      </c>
      <c r="P7" s="11">
        <v>19318</v>
      </c>
      <c r="Q7" s="11">
        <v>44868</v>
      </c>
      <c r="R7" s="11">
        <v>14576</v>
      </c>
      <c r="S7" s="11">
        <v>22344</v>
      </c>
      <c r="T7" s="11">
        <v>32261</v>
      </c>
      <c r="U7" s="11">
        <v>183699</v>
      </c>
      <c r="V7" s="11">
        <v>14615</v>
      </c>
      <c r="W7" s="11">
        <v>297271</v>
      </c>
      <c r="X7" s="11">
        <v>179940</v>
      </c>
      <c r="Y7" s="11">
        <v>4551</v>
      </c>
      <c r="Z7" s="11">
        <v>65019</v>
      </c>
      <c r="AA7" s="11">
        <v>37235</v>
      </c>
      <c r="AB7" s="11">
        <v>44273</v>
      </c>
      <c r="AC7" s="11">
        <v>75442</v>
      </c>
      <c r="AD7" s="11">
        <v>21598</v>
      </c>
      <c r="AE7" s="11">
        <v>153739</v>
      </c>
      <c r="AF7" s="11">
        <v>549905</v>
      </c>
      <c r="AG7" s="11">
        <v>6847</v>
      </c>
      <c r="AH7" s="11">
        <v>20742</v>
      </c>
      <c r="AI7" s="12">
        <f t="shared" si="0"/>
        <v>2648388.9</v>
      </c>
    </row>
    <row r="8" spans="1:35" x14ac:dyDescent="0.25">
      <c r="A8" s="29" t="s">
        <v>219</v>
      </c>
      <c r="B8" s="11">
        <v>4550</v>
      </c>
      <c r="C8" s="11">
        <v>8727</v>
      </c>
      <c r="D8" s="11">
        <v>4095</v>
      </c>
      <c r="E8" s="11">
        <v>25630</v>
      </c>
      <c r="F8" s="11">
        <v>10411</v>
      </c>
      <c r="G8" s="11">
        <v>5144</v>
      </c>
      <c r="H8" s="11">
        <v>1726</v>
      </c>
      <c r="I8" s="11">
        <v>20610.72</v>
      </c>
      <c r="J8" s="11">
        <v>99260</v>
      </c>
      <c r="K8" s="11"/>
      <c r="L8" s="11">
        <v>36612</v>
      </c>
      <c r="M8" s="11">
        <v>18366</v>
      </c>
      <c r="N8" s="11">
        <v>124217</v>
      </c>
      <c r="O8" s="11">
        <v>32584</v>
      </c>
      <c r="P8" s="11">
        <v>4315</v>
      </c>
      <c r="Q8" s="11">
        <v>37117</v>
      </c>
      <c r="R8" s="11">
        <v>1985</v>
      </c>
      <c r="S8" s="11">
        <v>619</v>
      </c>
      <c r="T8" s="11">
        <v>37977</v>
      </c>
      <c r="U8" s="11">
        <v>32539</v>
      </c>
      <c r="V8" s="11">
        <v>2436</v>
      </c>
      <c r="W8" s="11">
        <v>144645</v>
      </c>
      <c r="X8" s="11">
        <v>44951</v>
      </c>
      <c r="Y8" s="11">
        <v>9338</v>
      </c>
      <c r="Z8" s="11">
        <v>164870</v>
      </c>
      <c r="AA8" s="11">
        <v>5043</v>
      </c>
      <c r="AB8" s="11">
        <v>12479</v>
      </c>
      <c r="AC8" s="11">
        <v>66649</v>
      </c>
      <c r="AD8" s="11">
        <v>2676</v>
      </c>
      <c r="AE8" s="11">
        <v>43866</v>
      </c>
      <c r="AF8" s="11">
        <v>965</v>
      </c>
      <c r="AG8" s="11">
        <v>28056</v>
      </c>
      <c r="AH8" s="11">
        <v>24249</v>
      </c>
      <c r="AI8" s="12">
        <f t="shared" si="0"/>
        <v>1056707.72</v>
      </c>
    </row>
    <row r="9" spans="1:35" x14ac:dyDescent="0.25">
      <c r="A9" s="29" t="s">
        <v>220</v>
      </c>
      <c r="B9" s="11">
        <v>224</v>
      </c>
      <c r="C9" s="11">
        <v>7582</v>
      </c>
      <c r="D9" s="11">
        <v>1374</v>
      </c>
      <c r="E9" s="11">
        <v>16317</v>
      </c>
      <c r="F9" s="11">
        <v>2327</v>
      </c>
      <c r="G9" s="11">
        <v>6142</v>
      </c>
      <c r="H9" s="11">
        <v>5678</v>
      </c>
      <c r="I9" s="11">
        <v>1171.19</v>
      </c>
      <c r="J9" s="11">
        <v>20194</v>
      </c>
      <c r="K9" s="11">
        <v>287</v>
      </c>
      <c r="L9" s="11">
        <v>11470</v>
      </c>
      <c r="M9" s="11">
        <v>3663</v>
      </c>
      <c r="N9" s="11">
        <v>8901</v>
      </c>
      <c r="O9" s="11">
        <v>3632</v>
      </c>
      <c r="P9" s="11">
        <v>1417</v>
      </c>
      <c r="Q9" s="11">
        <v>2255</v>
      </c>
      <c r="R9" s="11">
        <v>1224</v>
      </c>
      <c r="S9" s="11">
        <v>3903</v>
      </c>
      <c r="T9" s="11">
        <v>4142</v>
      </c>
      <c r="U9" s="11">
        <v>27115</v>
      </c>
      <c r="V9" s="11">
        <v>15</v>
      </c>
      <c r="W9" s="11">
        <v>52664</v>
      </c>
      <c r="X9" s="11">
        <v>20567</v>
      </c>
      <c r="Y9" s="11">
        <v>181</v>
      </c>
      <c r="Z9" s="11">
        <v>1552</v>
      </c>
      <c r="AA9" s="11">
        <v>5992</v>
      </c>
      <c r="AB9" s="11">
        <v>1946</v>
      </c>
      <c r="AC9" s="11">
        <v>31058</v>
      </c>
      <c r="AD9" s="11">
        <v>6172</v>
      </c>
      <c r="AE9" s="11">
        <v>16008</v>
      </c>
      <c r="AF9" s="11">
        <v>5447</v>
      </c>
      <c r="AG9" s="11">
        <v>17969</v>
      </c>
      <c r="AH9" s="11">
        <v>1816</v>
      </c>
      <c r="AI9" s="12">
        <f t="shared" si="0"/>
        <v>290405.19</v>
      </c>
    </row>
    <row r="10" spans="1:35" x14ac:dyDescent="0.25">
      <c r="A10" s="29" t="s">
        <v>221</v>
      </c>
      <c r="B10" s="11">
        <v>1547</v>
      </c>
      <c r="C10" s="11">
        <v>9861</v>
      </c>
      <c r="D10" s="11">
        <v>832</v>
      </c>
      <c r="E10" s="11">
        <v>24935</v>
      </c>
      <c r="F10" s="11">
        <v>41956</v>
      </c>
      <c r="G10" s="11">
        <v>11347</v>
      </c>
      <c r="H10" s="11">
        <v>1216</v>
      </c>
      <c r="I10" s="11">
        <v>1629.32</v>
      </c>
      <c r="J10" s="11">
        <v>21492</v>
      </c>
      <c r="K10" s="11">
        <v>4783</v>
      </c>
      <c r="L10" s="11">
        <v>9056</v>
      </c>
      <c r="M10" s="11">
        <v>7798</v>
      </c>
      <c r="N10" s="11">
        <v>82210</v>
      </c>
      <c r="O10" s="11">
        <v>12082</v>
      </c>
      <c r="P10" s="11">
        <v>1039</v>
      </c>
      <c r="Q10" s="11">
        <v>47185</v>
      </c>
      <c r="R10" s="11">
        <v>1822</v>
      </c>
      <c r="S10" s="11">
        <v>16354</v>
      </c>
      <c r="T10" s="11">
        <v>32255</v>
      </c>
      <c r="U10" s="11">
        <v>48454</v>
      </c>
      <c r="V10" s="11">
        <v>1782</v>
      </c>
      <c r="W10" s="11">
        <v>36523</v>
      </c>
      <c r="X10" s="11">
        <v>17572</v>
      </c>
      <c r="Y10" s="11">
        <v>2851</v>
      </c>
      <c r="Z10" s="11">
        <v>38022</v>
      </c>
      <c r="AA10" s="11">
        <v>18207</v>
      </c>
      <c r="AB10" s="11">
        <v>11321</v>
      </c>
      <c r="AC10" s="11">
        <v>50984</v>
      </c>
      <c r="AD10" s="11">
        <v>8958</v>
      </c>
      <c r="AE10" s="11">
        <v>24811</v>
      </c>
      <c r="AF10" s="11">
        <v>40083</v>
      </c>
      <c r="AG10" s="11">
        <v>71181</v>
      </c>
      <c r="AH10" s="11">
        <v>7582</v>
      </c>
      <c r="AI10" s="12">
        <f t="shared" si="0"/>
        <v>707730.32000000007</v>
      </c>
    </row>
    <row r="11" spans="1:35" x14ac:dyDescent="0.25">
      <c r="A11" s="29" t="s">
        <v>222</v>
      </c>
      <c r="B11" s="11">
        <v>15038</v>
      </c>
      <c r="C11" s="11">
        <v>37803</v>
      </c>
      <c r="D11" s="11">
        <v>1910</v>
      </c>
      <c r="E11" s="11">
        <v>26609</v>
      </c>
      <c r="F11" s="11">
        <v>51504</v>
      </c>
      <c r="G11" s="11">
        <v>13024</v>
      </c>
      <c r="H11" s="11">
        <v>13858</v>
      </c>
      <c r="I11" s="11">
        <v>1579.77</v>
      </c>
      <c r="J11" s="11">
        <v>105942</v>
      </c>
      <c r="K11" s="11">
        <v>205974</v>
      </c>
      <c r="L11" s="11">
        <v>635772</v>
      </c>
      <c r="M11" s="11">
        <v>95216</v>
      </c>
      <c r="N11" s="11">
        <v>393564</v>
      </c>
      <c r="O11" s="11">
        <v>140679</v>
      </c>
      <c r="P11" s="11">
        <v>14861</v>
      </c>
      <c r="Q11" s="11">
        <v>90231</v>
      </c>
      <c r="R11" s="11">
        <v>11713</v>
      </c>
      <c r="S11" s="11">
        <v>120844</v>
      </c>
      <c r="T11" s="11">
        <v>76365</v>
      </c>
      <c r="U11" s="11">
        <v>2442</v>
      </c>
      <c r="V11" s="11">
        <v>56003</v>
      </c>
      <c r="W11" s="11">
        <v>73931</v>
      </c>
      <c r="X11" s="11">
        <v>12419</v>
      </c>
      <c r="Y11" s="11">
        <v>27222</v>
      </c>
      <c r="Z11" s="11">
        <v>27583</v>
      </c>
      <c r="AA11" s="11">
        <v>145368</v>
      </c>
      <c r="AB11" s="11">
        <v>4487</v>
      </c>
      <c r="AC11" s="11">
        <v>169825</v>
      </c>
      <c r="AD11" s="11">
        <v>53855</v>
      </c>
      <c r="AE11" s="11">
        <v>125602</v>
      </c>
      <c r="AF11" s="11">
        <v>720195</v>
      </c>
      <c r="AG11" s="11">
        <v>17213</v>
      </c>
      <c r="AH11" s="11">
        <v>30251</v>
      </c>
      <c r="AI11" s="12">
        <f t="shared" si="0"/>
        <v>3518882.77</v>
      </c>
    </row>
    <row r="12" spans="1:35" x14ac:dyDescent="0.25">
      <c r="A12" s="29" t="s">
        <v>223</v>
      </c>
      <c r="B12" s="11">
        <v>97761</v>
      </c>
      <c r="C12" s="11">
        <v>375815</v>
      </c>
      <c r="D12" s="11">
        <v>17299</v>
      </c>
      <c r="E12" s="11">
        <v>115816</v>
      </c>
      <c r="F12" s="11">
        <v>455814</v>
      </c>
      <c r="G12" s="11">
        <v>351564</v>
      </c>
      <c r="H12" s="11">
        <v>52556</v>
      </c>
      <c r="I12" s="11">
        <v>3111.91</v>
      </c>
      <c r="J12" s="11">
        <v>414783</v>
      </c>
      <c r="K12" s="11">
        <v>546584</v>
      </c>
      <c r="L12" s="11">
        <v>838534</v>
      </c>
      <c r="M12" s="11">
        <v>205729</v>
      </c>
      <c r="N12" s="11">
        <v>179465</v>
      </c>
      <c r="O12" s="11">
        <v>135055</v>
      </c>
      <c r="P12" s="11">
        <v>57516</v>
      </c>
      <c r="Q12" s="11">
        <v>179507</v>
      </c>
      <c r="R12" s="11">
        <v>260413</v>
      </c>
      <c r="S12" s="11">
        <v>81741</v>
      </c>
      <c r="T12" s="11">
        <v>232797</v>
      </c>
      <c r="U12" s="11">
        <v>837</v>
      </c>
      <c r="V12" s="11">
        <v>9093</v>
      </c>
      <c r="W12" s="11">
        <v>16180</v>
      </c>
      <c r="X12" s="11">
        <v>92</v>
      </c>
      <c r="Y12" s="11">
        <v>52096</v>
      </c>
      <c r="Z12" s="11">
        <v>1745932</v>
      </c>
      <c r="AA12" s="11">
        <v>170084</v>
      </c>
      <c r="AB12" s="11">
        <v>42225</v>
      </c>
      <c r="AC12" s="11">
        <v>34898</v>
      </c>
      <c r="AD12" s="11">
        <v>256</v>
      </c>
      <c r="AE12" s="11">
        <v>170032</v>
      </c>
      <c r="AF12" s="11">
        <v>369964</v>
      </c>
      <c r="AG12" s="11">
        <v>10685</v>
      </c>
      <c r="AH12" s="11">
        <v>13154</v>
      </c>
      <c r="AI12" s="12">
        <f t="shared" si="0"/>
        <v>7237388.9100000001</v>
      </c>
    </row>
    <row r="13" spans="1:35" x14ac:dyDescent="0.25">
      <c r="A13" s="29" t="s">
        <v>224</v>
      </c>
      <c r="B13" s="11">
        <v>3321</v>
      </c>
      <c r="C13" s="11">
        <v>4189</v>
      </c>
      <c r="D13" s="11"/>
      <c r="E13" s="11">
        <v>40001</v>
      </c>
      <c r="F13" s="11">
        <v>14428</v>
      </c>
      <c r="G13" s="11">
        <v>23290</v>
      </c>
      <c r="H13" s="11">
        <v>1341</v>
      </c>
      <c r="I13" s="11">
        <v>39.54</v>
      </c>
      <c r="J13" s="11">
        <v>10668</v>
      </c>
      <c r="K13" s="11">
        <v>7267</v>
      </c>
      <c r="L13" s="11">
        <v>28453</v>
      </c>
      <c r="M13" s="11">
        <v>17576</v>
      </c>
      <c r="N13" s="11">
        <v>83606</v>
      </c>
      <c r="O13" s="11">
        <v>39876</v>
      </c>
      <c r="P13" s="11">
        <v>4696</v>
      </c>
      <c r="Q13" s="11">
        <v>4470</v>
      </c>
      <c r="R13" s="11">
        <v>10273</v>
      </c>
      <c r="S13" s="11">
        <v>7916</v>
      </c>
      <c r="T13" s="11">
        <v>16122</v>
      </c>
      <c r="U13" s="11">
        <v>3063</v>
      </c>
      <c r="V13" s="11">
        <v>406</v>
      </c>
      <c r="W13" s="11">
        <v>57821</v>
      </c>
      <c r="X13" s="11">
        <v>7007</v>
      </c>
      <c r="Y13" s="11">
        <v>45</v>
      </c>
      <c r="Z13" s="11">
        <v>31886</v>
      </c>
      <c r="AA13" s="11">
        <v>13788</v>
      </c>
      <c r="AB13" s="11">
        <v>11681</v>
      </c>
      <c r="AC13" s="11">
        <v>8505</v>
      </c>
      <c r="AD13" s="11">
        <v>26048</v>
      </c>
      <c r="AE13" s="11">
        <v>3727</v>
      </c>
      <c r="AF13" s="11">
        <v>39248</v>
      </c>
      <c r="AG13" s="11">
        <v>55879</v>
      </c>
      <c r="AH13" s="11">
        <v>4283</v>
      </c>
      <c r="AI13" s="12">
        <f t="shared" si="0"/>
        <v>580919.54</v>
      </c>
    </row>
    <row r="14" spans="1:35" x14ac:dyDescent="0.25">
      <c r="A14" s="30" t="s">
        <v>42</v>
      </c>
      <c r="B14" s="11">
        <f>B17-B16-B15-B13-B12-B11-B10-B9-B8-B7-B6-B5-B4</f>
        <v>63442</v>
      </c>
      <c r="C14" s="11">
        <f t="shared" ref="C14:AH14" si="1">C17-C16-C15-C13-C12-C11-C10-C9-C8-C7-C6-C5-C4</f>
        <v>135098</v>
      </c>
      <c r="D14" s="11">
        <f t="shared" si="1"/>
        <v>102683</v>
      </c>
      <c r="E14" s="11">
        <f t="shared" si="1"/>
        <v>1799197</v>
      </c>
      <c r="F14" s="11">
        <f t="shared" si="1"/>
        <v>179237</v>
      </c>
      <c r="G14" s="11">
        <f t="shared" si="1"/>
        <v>1446111</v>
      </c>
      <c r="H14" s="11">
        <f t="shared" si="1"/>
        <v>43254</v>
      </c>
      <c r="I14" s="11">
        <f t="shared" si="1"/>
        <v>24352.830000000016</v>
      </c>
      <c r="J14" s="11">
        <f t="shared" si="1"/>
        <v>280844</v>
      </c>
      <c r="K14" s="11">
        <f t="shared" si="1"/>
        <v>229543</v>
      </c>
      <c r="L14" s="11">
        <f t="shared" si="1"/>
        <v>175855</v>
      </c>
      <c r="M14" s="11">
        <f t="shared" si="1"/>
        <v>108507</v>
      </c>
      <c r="N14" s="11">
        <f t="shared" si="1"/>
        <v>2137611</v>
      </c>
      <c r="O14" s="11">
        <f t="shared" si="1"/>
        <v>123282</v>
      </c>
      <c r="P14" s="11">
        <f t="shared" si="1"/>
        <v>45052</v>
      </c>
      <c r="Q14" s="11">
        <f t="shared" si="1"/>
        <v>191821</v>
      </c>
      <c r="R14" s="11">
        <f t="shared" si="1"/>
        <v>67717</v>
      </c>
      <c r="S14" s="11">
        <f t="shared" si="1"/>
        <v>88074</v>
      </c>
      <c r="T14" s="11">
        <f t="shared" si="1"/>
        <v>4993</v>
      </c>
      <c r="U14" s="11">
        <f t="shared" si="1"/>
        <v>496823</v>
      </c>
      <c r="V14" s="11">
        <f t="shared" si="1"/>
        <v>17308</v>
      </c>
      <c r="W14" s="11">
        <f t="shared" si="1"/>
        <v>2233200</v>
      </c>
      <c r="X14" s="11">
        <f t="shared" si="1"/>
        <v>206201</v>
      </c>
      <c r="Y14" s="11">
        <f t="shared" si="1"/>
        <v>2746</v>
      </c>
      <c r="Z14" s="11">
        <f t="shared" si="1"/>
        <v>247640</v>
      </c>
      <c r="AA14" s="11">
        <f t="shared" si="1"/>
        <v>38051</v>
      </c>
      <c r="AB14" s="11">
        <f t="shared" si="1"/>
        <v>369711</v>
      </c>
      <c r="AC14" s="11">
        <f t="shared" si="1"/>
        <v>369050</v>
      </c>
      <c r="AD14" s="11">
        <f t="shared" si="1"/>
        <v>434566</v>
      </c>
      <c r="AE14" s="11">
        <f t="shared" si="1"/>
        <v>-176453</v>
      </c>
      <c r="AF14" s="11">
        <f t="shared" si="1"/>
        <v>153250</v>
      </c>
      <c r="AG14" s="11">
        <f t="shared" si="1"/>
        <v>434955</v>
      </c>
      <c r="AH14" s="11">
        <f t="shared" si="1"/>
        <v>138191</v>
      </c>
      <c r="AI14" s="12">
        <f t="shared" si="0"/>
        <v>12211912.83</v>
      </c>
    </row>
    <row r="15" spans="1:35" x14ac:dyDescent="0.25">
      <c r="A15" s="29" t="s">
        <v>225</v>
      </c>
      <c r="B15" s="11">
        <v>9452</v>
      </c>
      <c r="C15" s="11">
        <v>58354</v>
      </c>
      <c r="D15" s="11">
        <v>152581</v>
      </c>
      <c r="E15" s="11">
        <v>121110</v>
      </c>
      <c r="F15" s="11">
        <v>23584</v>
      </c>
      <c r="G15" s="11">
        <v>50302</v>
      </c>
      <c r="H15" s="11">
        <v>7759</v>
      </c>
      <c r="I15" s="11">
        <v>10779.3</v>
      </c>
      <c r="J15" s="11">
        <v>28906</v>
      </c>
      <c r="K15" s="11">
        <v>18808</v>
      </c>
      <c r="L15" s="11">
        <v>105067</v>
      </c>
      <c r="M15" s="11">
        <v>33956</v>
      </c>
      <c r="N15" s="11">
        <v>313526</v>
      </c>
      <c r="O15" s="11">
        <v>57439</v>
      </c>
      <c r="P15" s="11">
        <v>10478</v>
      </c>
      <c r="Q15" s="11">
        <v>60346</v>
      </c>
      <c r="R15" s="11">
        <v>16474</v>
      </c>
      <c r="S15" s="11">
        <v>13833</v>
      </c>
      <c r="T15" s="11">
        <v>58031</v>
      </c>
      <c r="U15" s="11">
        <v>139423</v>
      </c>
      <c r="V15" s="11">
        <v>33021</v>
      </c>
      <c r="W15" s="11">
        <v>242569</v>
      </c>
      <c r="X15" s="11">
        <v>150624</v>
      </c>
      <c r="Y15" s="11">
        <v>4116</v>
      </c>
      <c r="Z15" s="11"/>
      <c r="AA15" s="11">
        <v>47964</v>
      </c>
      <c r="AB15" s="11">
        <v>33432</v>
      </c>
      <c r="AC15" s="11">
        <v>137882</v>
      </c>
      <c r="AD15" s="11">
        <v>12412</v>
      </c>
      <c r="AE15" s="11">
        <v>226734</v>
      </c>
      <c r="AF15" s="11">
        <v>100411</v>
      </c>
      <c r="AG15" s="11">
        <v>113292</v>
      </c>
      <c r="AH15" s="11">
        <v>32286</v>
      </c>
      <c r="AI15" s="12">
        <f t="shared" si="0"/>
        <v>2424951.2999999998</v>
      </c>
    </row>
    <row r="16" spans="1:35" x14ac:dyDescent="0.25">
      <c r="A16" s="29" t="s">
        <v>226</v>
      </c>
      <c r="B16" s="11"/>
      <c r="C16" s="11"/>
      <c r="D16" s="11">
        <v>47061</v>
      </c>
      <c r="E16" s="11">
        <v>49091</v>
      </c>
      <c r="F16" s="11">
        <v>16846</v>
      </c>
      <c r="G16" s="11">
        <v>3</v>
      </c>
      <c r="H16" s="11">
        <v>135</v>
      </c>
      <c r="I16" s="11"/>
      <c r="J16" s="11">
        <v>4624</v>
      </c>
      <c r="K16" s="11">
        <v>347</v>
      </c>
      <c r="L16" s="11"/>
      <c r="M16" s="11"/>
      <c r="N16" s="11"/>
      <c r="O16" s="11">
        <v>14315</v>
      </c>
      <c r="P16" s="11"/>
      <c r="Q16" s="11"/>
      <c r="R16" s="11"/>
      <c r="S16" s="11"/>
      <c r="T16" s="11">
        <v>-8</v>
      </c>
      <c r="U16" s="11">
        <v>-1336</v>
      </c>
      <c r="V16" s="11">
        <v>42</v>
      </c>
      <c r="W16" s="11">
        <v>-35998</v>
      </c>
      <c r="X16" s="11">
        <v>0</v>
      </c>
      <c r="Y16" s="11"/>
      <c r="Z16" s="11">
        <v>23727</v>
      </c>
      <c r="AA16" s="11">
        <v>20</v>
      </c>
      <c r="AB16" s="11">
        <v>2168</v>
      </c>
      <c r="AC16" s="11">
        <v>27099</v>
      </c>
      <c r="AD16" s="11"/>
      <c r="AE16" s="11"/>
      <c r="AF16" s="11">
        <v>14534</v>
      </c>
      <c r="AG16" s="11"/>
      <c r="AH16" s="11"/>
      <c r="AI16" s="12">
        <f t="shared" si="0"/>
        <v>162670</v>
      </c>
    </row>
    <row r="17" spans="1:35" s="9" customFormat="1" x14ac:dyDescent="0.25">
      <c r="A17" s="4" t="s">
        <v>52</v>
      </c>
      <c r="B17" s="12">
        <v>293663</v>
      </c>
      <c r="C17" s="12">
        <v>1422817</v>
      </c>
      <c r="D17" s="12">
        <v>479249</v>
      </c>
      <c r="E17" s="12">
        <v>4188845</v>
      </c>
      <c r="F17" s="12">
        <v>1402879</v>
      </c>
      <c r="G17" s="12">
        <v>2329997</v>
      </c>
      <c r="H17" s="12">
        <v>260273</v>
      </c>
      <c r="I17" s="12">
        <v>408976.3</v>
      </c>
      <c r="J17" s="12">
        <v>1689270</v>
      </c>
      <c r="K17" s="12">
        <v>1417188</v>
      </c>
      <c r="L17" s="12">
        <v>2901547</v>
      </c>
      <c r="M17" s="12">
        <v>1028018</v>
      </c>
      <c r="N17" s="12">
        <v>5624021</v>
      </c>
      <c r="O17" s="12">
        <v>1629104</v>
      </c>
      <c r="P17" s="12">
        <v>360189</v>
      </c>
      <c r="Q17" s="12">
        <v>1055028</v>
      </c>
      <c r="R17" s="12">
        <v>659878</v>
      </c>
      <c r="S17" s="12">
        <v>649507</v>
      </c>
      <c r="T17" s="12">
        <v>1084186</v>
      </c>
      <c r="U17" s="12">
        <v>7520796</v>
      </c>
      <c r="V17" s="12">
        <v>204799</v>
      </c>
      <c r="W17" s="12">
        <v>18084712</v>
      </c>
      <c r="X17" s="12">
        <v>9409048</v>
      </c>
      <c r="Y17" s="12">
        <v>206905</v>
      </c>
      <c r="Z17" s="12">
        <v>3541364</v>
      </c>
      <c r="AA17" s="12">
        <v>1446702</v>
      </c>
      <c r="AB17" s="12">
        <v>1029422</v>
      </c>
      <c r="AC17" s="12">
        <v>1908833</v>
      </c>
      <c r="AD17" s="12">
        <v>830333</v>
      </c>
      <c r="AE17" s="12">
        <v>2704766</v>
      </c>
      <c r="AF17" s="12">
        <v>3211644</v>
      </c>
      <c r="AG17" s="12">
        <v>8278765</v>
      </c>
      <c r="AH17" s="12">
        <v>459973</v>
      </c>
      <c r="AI17" s="12">
        <f t="shared" si="0"/>
        <v>87722697.299999997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8" customWidth="1"/>
    <col min="2" max="34" width="16" style="8" customWidth="1"/>
    <col min="35" max="35" width="16" style="9" customWidth="1"/>
    <col min="36" max="16384" width="9.140625" style="8"/>
  </cols>
  <sheetData>
    <row r="1" spans="1:35" ht="18.75" x14ac:dyDescent="0.3">
      <c r="A1" s="10" t="s">
        <v>298</v>
      </c>
    </row>
    <row r="2" spans="1:35" x14ac:dyDescent="0.25">
      <c r="A2" s="8" t="s">
        <v>44</v>
      </c>
    </row>
    <row r="3" spans="1:35" x14ac:dyDescent="0.25">
      <c r="A3" s="1" t="s">
        <v>0</v>
      </c>
      <c r="B3" s="96" t="s">
        <v>1</v>
      </c>
      <c r="C3" s="96" t="s">
        <v>2</v>
      </c>
      <c r="D3" s="96" t="s">
        <v>3</v>
      </c>
      <c r="E3" s="96" t="s">
        <v>4</v>
      </c>
      <c r="F3" s="96" t="s">
        <v>5</v>
      </c>
      <c r="G3" s="96" t="s">
        <v>6</v>
      </c>
      <c r="H3" s="96" t="s">
        <v>7</v>
      </c>
      <c r="I3" s="96" t="s">
        <v>8</v>
      </c>
      <c r="J3" s="96" t="s">
        <v>9</v>
      </c>
      <c r="K3" s="96" t="s">
        <v>10</v>
      </c>
      <c r="L3" s="96" t="s">
        <v>11</v>
      </c>
      <c r="M3" s="96" t="s">
        <v>293</v>
      </c>
      <c r="N3" s="96" t="s">
        <v>12</v>
      </c>
      <c r="O3" s="96" t="s">
        <v>13</v>
      </c>
      <c r="P3" s="96" t="s">
        <v>14</v>
      </c>
      <c r="Q3" s="96" t="s">
        <v>15</v>
      </c>
      <c r="R3" s="96" t="s">
        <v>16</v>
      </c>
      <c r="S3" s="96" t="s">
        <v>295</v>
      </c>
      <c r="T3" s="96" t="s">
        <v>17</v>
      </c>
      <c r="U3" s="96" t="s">
        <v>18</v>
      </c>
      <c r="V3" s="75" t="s">
        <v>294</v>
      </c>
      <c r="W3" s="96" t="s">
        <v>19</v>
      </c>
      <c r="X3" s="96" t="s">
        <v>20</v>
      </c>
      <c r="Y3" s="96" t="s">
        <v>21</v>
      </c>
      <c r="Z3" s="96" t="s">
        <v>22</v>
      </c>
      <c r="AA3" s="96" t="s">
        <v>23</v>
      </c>
      <c r="AB3" s="96" t="s">
        <v>24</v>
      </c>
      <c r="AC3" s="96" t="s">
        <v>25</v>
      </c>
      <c r="AD3" s="96" t="s">
        <v>26</v>
      </c>
      <c r="AE3" s="96" t="s">
        <v>27</v>
      </c>
      <c r="AF3" s="96" t="s">
        <v>28</v>
      </c>
      <c r="AG3" s="95" t="s">
        <v>29</v>
      </c>
      <c r="AH3" s="96" t="s">
        <v>30</v>
      </c>
      <c r="AI3" s="96" t="s">
        <v>31</v>
      </c>
    </row>
    <row r="4" spans="1:35" x14ac:dyDescent="0.25">
      <c r="A4" s="11" t="s">
        <v>45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>
        <v>575</v>
      </c>
      <c r="X4" s="11">
        <v>2565</v>
      </c>
      <c r="Y4" s="11"/>
      <c r="Z4" s="11"/>
      <c r="AA4" s="11"/>
      <c r="AB4" s="11"/>
      <c r="AC4" s="11"/>
      <c r="AD4" s="11"/>
      <c r="AE4" s="11"/>
      <c r="AF4" s="11"/>
      <c r="AG4" s="11">
        <v>13589</v>
      </c>
      <c r="AI4" s="12">
        <f t="shared" ref="AI4:AI10" si="0">SUM(B4:AH4)</f>
        <v>16729</v>
      </c>
    </row>
    <row r="5" spans="1:35" x14ac:dyDescent="0.25">
      <c r="A5" s="11" t="s">
        <v>46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2">
        <f t="shared" si="0"/>
        <v>0</v>
      </c>
    </row>
    <row r="6" spans="1:35" x14ac:dyDescent="0.25">
      <c r="A6" s="11" t="s">
        <v>47</v>
      </c>
      <c r="B6" s="11"/>
      <c r="C6" s="11">
        <v>8170673</v>
      </c>
      <c r="D6" s="11"/>
      <c r="E6" s="98">
        <v>1666197</v>
      </c>
      <c r="F6" s="11">
        <v>1719685</v>
      </c>
      <c r="G6" s="11">
        <v>1432645</v>
      </c>
      <c r="H6" s="11"/>
      <c r="I6" s="11"/>
      <c r="J6" s="11"/>
      <c r="K6" s="11">
        <v>8277407</v>
      </c>
      <c r="L6" s="11">
        <v>8461123</v>
      </c>
      <c r="M6" s="11">
        <v>5517832</v>
      </c>
      <c r="N6" s="11">
        <v>15735542</v>
      </c>
      <c r="O6" s="11">
        <v>4519821</v>
      </c>
      <c r="P6" s="11"/>
      <c r="Q6" s="11">
        <v>6483748</v>
      </c>
      <c r="R6" s="11">
        <v>2796224</v>
      </c>
      <c r="S6" s="11">
        <v>3298637</v>
      </c>
      <c r="T6" s="11"/>
      <c r="U6" s="11"/>
      <c r="V6" s="11"/>
      <c r="W6" s="11">
        <v>18908542</v>
      </c>
      <c r="X6" s="11"/>
      <c r="Y6" s="11"/>
      <c r="Z6" s="11">
        <v>7667050</v>
      </c>
      <c r="AA6" s="11">
        <v>2434668</v>
      </c>
      <c r="AB6" s="11">
        <v>2550000</v>
      </c>
      <c r="AC6" s="11">
        <v>13326000</v>
      </c>
      <c r="AD6" s="11">
        <v>1968</v>
      </c>
      <c r="AE6" s="11">
        <v>10369828</v>
      </c>
      <c r="AF6" s="11">
        <v>4705428</v>
      </c>
      <c r="AG6" s="11"/>
      <c r="AH6" s="8">
        <v>1676182</v>
      </c>
      <c r="AI6" s="12">
        <f t="shared" si="0"/>
        <v>129719200</v>
      </c>
    </row>
    <row r="7" spans="1:35" x14ac:dyDescent="0.25">
      <c r="A7" s="11" t="s">
        <v>48</v>
      </c>
      <c r="B7" s="11"/>
      <c r="C7" s="11"/>
      <c r="D7" s="11">
        <v>39437983</v>
      </c>
      <c r="E7" s="11"/>
      <c r="F7" s="11"/>
      <c r="G7" s="11">
        <v>6347567</v>
      </c>
      <c r="H7" s="11"/>
      <c r="I7" s="11">
        <v>26549180.309999999</v>
      </c>
      <c r="J7" s="11"/>
      <c r="K7" s="11"/>
      <c r="L7" s="11"/>
      <c r="M7" s="11"/>
      <c r="N7" s="11">
        <v>333642</v>
      </c>
      <c r="O7" s="11"/>
      <c r="P7" s="11"/>
      <c r="Q7" s="11"/>
      <c r="R7" s="11"/>
      <c r="S7" s="11"/>
      <c r="T7" s="11"/>
      <c r="U7" s="11"/>
      <c r="V7" s="11"/>
      <c r="W7" s="11">
        <v>133022106</v>
      </c>
      <c r="X7" s="11">
        <v>11386633</v>
      </c>
      <c r="Y7" s="11"/>
      <c r="Z7" s="11"/>
      <c r="AA7" s="11"/>
      <c r="AB7" s="11"/>
      <c r="AC7" s="11"/>
      <c r="AD7" s="11"/>
      <c r="AE7" s="11"/>
      <c r="AF7" s="11">
        <v>151237</v>
      </c>
      <c r="AG7" s="11">
        <v>17733153</v>
      </c>
      <c r="AH7" s="11"/>
      <c r="AI7" s="12">
        <f t="shared" si="0"/>
        <v>234961501.31</v>
      </c>
    </row>
    <row r="8" spans="1:35" x14ac:dyDescent="0.25">
      <c r="A8" s="11" t="s">
        <v>49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>
        <v>1166</v>
      </c>
      <c r="P8" s="11"/>
      <c r="Q8" s="11"/>
      <c r="R8" s="11"/>
      <c r="S8" s="11"/>
      <c r="T8" s="11"/>
      <c r="U8" s="11">
        <v>16563</v>
      </c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I8" s="12">
        <f t="shared" si="0"/>
        <v>17729</v>
      </c>
    </row>
    <row r="9" spans="1:35" x14ac:dyDescent="0.25">
      <c r="A9" s="11" t="s">
        <v>50</v>
      </c>
      <c r="B9" s="11">
        <f>B11-B10-B8-B7-B6-B5-B4</f>
        <v>0</v>
      </c>
      <c r="C9" s="11">
        <f t="shared" ref="C9:AH9" si="1">C11-C10-C8-C7-C6-C5-C4</f>
        <v>0</v>
      </c>
      <c r="D9" s="11">
        <f t="shared" si="1"/>
        <v>0</v>
      </c>
      <c r="E9" s="11">
        <f t="shared" si="1"/>
        <v>0</v>
      </c>
      <c r="F9" s="11">
        <f t="shared" si="1"/>
        <v>0</v>
      </c>
      <c r="G9" s="11">
        <f t="shared" si="1"/>
        <v>200000</v>
      </c>
      <c r="H9" s="11">
        <f t="shared" si="1"/>
        <v>0</v>
      </c>
      <c r="I9" s="11">
        <f t="shared" si="1"/>
        <v>600000.00000000373</v>
      </c>
      <c r="J9" s="11">
        <f t="shared" si="1"/>
        <v>0</v>
      </c>
      <c r="K9" s="11">
        <f t="shared" si="1"/>
        <v>104457</v>
      </c>
      <c r="L9" s="11">
        <f t="shared" si="1"/>
        <v>315900</v>
      </c>
      <c r="M9" s="11">
        <f t="shared" si="1"/>
        <v>40568</v>
      </c>
      <c r="N9" s="11">
        <f t="shared" si="1"/>
        <v>277144</v>
      </c>
      <c r="O9" s="11">
        <f t="shared" si="1"/>
        <v>0</v>
      </c>
      <c r="P9" s="11">
        <f t="shared" si="1"/>
        <v>0</v>
      </c>
      <c r="Q9" s="11">
        <f t="shared" si="1"/>
        <v>0</v>
      </c>
      <c r="R9" s="11">
        <f t="shared" si="1"/>
        <v>0</v>
      </c>
      <c r="S9" s="11">
        <f t="shared" si="1"/>
        <v>0</v>
      </c>
      <c r="T9" s="11">
        <f t="shared" si="1"/>
        <v>0</v>
      </c>
      <c r="U9" s="11">
        <f t="shared" si="1"/>
        <v>131586</v>
      </c>
      <c r="V9" s="11">
        <f t="shared" si="1"/>
        <v>0</v>
      </c>
      <c r="W9" s="11">
        <f t="shared" si="1"/>
        <v>17642252</v>
      </c>
      <c r="X9" s="11">
        <f t="shared" si="1"/>
        <v>0</v>
      </c>
      <c r="Y9" s="11">
        <f t="shared" si="1"/>
        <v>0</v>
      </c>
      <c r="Z9" s="11">
        <f t="shared" si="1"/>
        <v>207639</v>
      </c>
      <c r="AA9" s="11">
        <f t="shared" si="1"/>
        <v>383601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150000</v>
      </c>
      <c r="AF9" s="11">
        <f t="shared" si="1"/>
        <v>445000</v>
      </c>
      <c r="AG9" s="11">
        <f t="shared" si="1"/>
        <v>863207</v>
      </c>
      <c r="AH9" s="11">
        <f t="shared" si="1"/>
        <v>0</v>
      </c>
      <c r="AI9" s="12">
        <f t="shared" si="0"/>
        <v>21361354.000000004</v>
      </c>
    </row>
    <row r="10" spans="1:35" x14ac:dyDescent="0.25">
      <c r="A10" s="11" t="s">
        <v>51</v>
      </c>
      <c r="B10" s="11"/>
      <c r="C10" s="11"/>
      <c r="D10" s="11">
        <v>828664</v>
      </c>
      <c r="E10" s="11">
        <v>60696583</v>
      </c>
      <c r="F10" s="11"/>
      <c r="G10" s="11">
        <v>6131621</v>
      </c>
      <c r="H10" s="11"/>
      <c r="I10" s="11">
        <v>333677.71999999997</v>
      </c>
      <c r="J10" s="11">
        <v>1166506</v>
      </c>
      <c r="K10" s="11"/>
      <c r="L10" s="11">
        <v>10911628</v>
      </c>
      <c r="M10" s="11"/>
      <c r="N10" s="11">
        <v>44434131</v>
      </c>
      <c r="O10" s="11">
        <v>18865947</v>
      </c>
      <c r="P10" s="11"/>
      <c r="Q10" s="11"/>
      <c r="R10" s="11"/>
      <c r="S10" s="11"/>
      <c r="T10" s="11"/>
      <c r="U10" s="11"/>
      <c r="V10" s="11"/>
      <c r="W10" s="11"/>
      <c r="X10" s="11">
        <v>473683</v>
      </c>
      <c r="Y10" s="11"/>
      <c r="Z10" s="11">
        <v>8776488</v>
      </c>
      <c r="AA10" s="11"/>
      <c r="AB10" s="11">
        <v>5678373</v>
      </c>
      <c r="AC10" s="11">
        <v>8006058</v>
      </c>
      <c r="AD10" s="11">
        <v>16031577</v>
      </c>
      <c r="AE10" s="11">
        <v>5235445</v>
      </c>
      <c r="AF10" s="11">
        <v>12173006</v>
      </c>
      <c r="AG10" s="11"/>
      <c r="AH10" s="11">
        <v>5159835</v>
      </c>
      <c r="AI10" s="12">
        <f t="shared" si="0"/>
        <v>204903222.72</v>
      </c>
    </row>
    <row r="11" spans="1:35" s="9" customFormat="1" x14ac:dyDescent="0.25">
      <c r="A11" s="12" t="s">
        <v>52</v>
      </c>
      <c r="B11" s="12"/>
      <c r="C11" s="12">
        <v>8170673</v>
      </c>
      <c r="D11" s="12">
        <v>40266647</v>
      </c>
      <c r="E11" s="12">
        <v>62362780</v>
      </c>
      <c r="F11" s="12">
        <v>1719685</v>
      </c>
      <c r="G11" s="12">
        <v>14111833</v>
      </c>
      <c r="H11" s="12"/>
      <c r="I11" s="12">
        <v>27482858.030000001</v>
      </c>
      <c r="J11" s="12">
        <v>1166506</v>
      </c>
      <c r="K11" s="12">
        <v>8381864</v>
      </c>
      <c r="L11" s="12">
        <v>19688651</v>
      </c>
      <c r="M11" s="12">
        <v>5558400</v>
      </c>
      <c r="N11" s="12">
        <v>60780459</v>
      </c>
      <c r="O11" s="12">
        <v>23386934</v>
      </c>
      <c r="P11" s="12"/>
      <c r="Q11" s="12">
        <v>6483748</v>
      </c>
      <c r="R11" s="12">
        <v>2796224</v>
      </c>
      <c r="S11" s="12">
        <v>3298637</v>
      </c>
      <c r="T11" s="12"/>
      <c r="U11" s="12">
        <v>148149</v>
      </c>
      <c r="V11" s="12"/>
      <c r="W11" s="12">
        <v>169573475</v>
      </c>
      <c r="X11" s="12">
        <v>11862881</v>
      </c>
      <c r="Y11" s="12"/>
      <c r="Z11" s="12">
        <v>16651177</v>
      </c>
      <c r="AA11" s="12">
        <v>2818269</v>
      </c>
      <c r="AB11" s="12">
        <v>8228373</v>
      </c>
      <c r="AC11" s="12">
        <v>21332058</v>
      </c>
      <c r="AD11" s="12">
        <v>16033545</v>
      </c>
      <c r="AE11" s="12">
        <v>15755273</v>
      </c>
      <c r="AF11" s="12">
        <v>17474671</v>
      </c>
      <c r="AG11" s="12">
        <v>18609949</v>
      </c>
      <c r="AH11" s="12">
        <v>6836017</v>
      </c>
      <c r="AI11" s="1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2.28515625" style="60" customWidth="1"/>
    <col min="2" max="100" width="14.28515625" style="60" customWidth="1"/>
    <col min="101" max="16384" width="9.140625" style="60"/>
  </cols>
  <sheetData>
    <row r="1" spans="1:100" ht="18.75" x14ac:dyDescent="0.3">
      <c r="A1" s="59" t="s">
        <v>299</v>
      </c>
    </row>
    <row r="2" spans="1:100" x14ac:dyDescent="0.25">
      <c r="A2" s="61" t="s">
        <v>44</v>
      </c>
    </row>
    <row r="3" spans="1:100" x14ac:dyDescent="0.25">
      <c r="A3" s="101" t="s">
        <v>0</v>
      </c>
      <c r="B3" s="102" t="s">
        <v>1</v>
      </c>
      <c r="C3" s="103"/>
      <c r="D3" s="104"/>
      <c r="E3" s="102" t="s">
        <v>2</v>
      </c>
      <c r="F3" s="103"/>
      <c r="G3" s="104"/>
      <c r="H3" s="102" t="s">
        <v>3</v>
      </c>
      <c r="I3" s="103"/>
      <c r="J3" s="104"/>
      <c r="K3" s="102" t="s">
        <v>4</v>
      </c>
      <c r="L3" s="103"/>
      <c r="M3" s="104"/>
      <c r="N3" s="102" t="s">
        <v>5</v>
      </c>
      <c r="O3" s="103"/>
      <c r="P3" s="104"/>
      <c r="Q3" s="102" t="s">
        <v>300</v>
      </c>
      <c r="R3" s="103"/>
      <c r="S3" s="104"/>
      <c r="T3" s="102" t="s">
        <v>7</v>
      </c>
      <c r="U3" s="103"/>
      <c r="V3" s="104"/>
      <c r="W3" s="102" t="s">
        <v>8</v>
      </c>
      <c r="X3" s="103"/>
      <c r="Y3" s="104"/>
      <c r="Z3" s="102" t="s">
        <v>9</v>
      </c>
      <c r="AA3" s="103"/>
      <c r="AB3" s="104"/>
      <c r="AC3" s="102" t="s">
        <v>301</v>
      </c>
      <c r="AD3" s="103"/>
      <c r="AE3" s="104"/>
      <c r="AF3" s="102" t="s">
        <v>11</v>
      </c>
      <c r="AG3" s="103"/>
      <c r="AH3" s="104"/>
      <c r="AI3" s="100" t="s">
        <v>293</v>
      </c>
      <c r="AJ3" s="100"/>
      <c r="AK3" s="100"/>
      <c r="AL3" s="100" t="s">
        <v>12</v>
      </c>
      <c r="AM3" s="100"/>
      <c r="AN3" s="100"/>
      <c r="AO3" s="100" t="s">
        <v>13</v>
      </c>
      <c r="AP3" s="100"/>
      <c r="AQ3" s="100"/>
      <c r="AR3" s="100" t="s">
        <v>14</v>
      </c>
      <c r="AS3" s="100"/>
      <c r="AT3" s="100"/>
      <c r="AU3" s="100" t="s">
        <v>15</v>
      </c>
      <c r="AV3" s="100"/>
      <c r="AW3" s="100"/>
      <c r="AX3" s="100" t="s">
        <v>16</v>
      </c>
      <c r="AY3" s="100"/>
      <c r="AZ3" s="100"/>
      <c r="BA3" s="100" t="s">
        <v>295</v>
      </c>
      <c r="BB3" s="100"/>
      <c r="BC3" s="100"/>
      <c r="BD3" s="100" t="s">
        <v>17</v>
      </c>
      <c r="BE3" s="100"/>
      <c r="BF3" s="100"/>
      <c r="BG3" s="100" t="s">
        <v>18</v>
      </c>
      <c r="BH3" s="100"/>
      <c r="BI3" s="100"/>
      <c r="BJ3" s="100" t="s">
        <v>294</v>
      </c>
      <c r="BK3" s="100"/>
      <c r="BL3" s="100"/>
      <c r="BM3" s="100" t="s">
        <v>19</v>
      </c>
      <c r="BN3" s="100"/>
      <c r="BO3" s="100"/>
      <c r="BP3" s="100" t="s">
        <v>20</v>
      </c>
      <c r="BQ3" s="100"/>
      <c r="BR3" s="100"/>
      <c r="BS3" s="100" t="s">
        <v>306</v>
      </c>
      <c r="BT3" s="100"/>
      <c r="BU3" s="100"/>
      <c r="BV3" s="100" t="s">
        <v>22</v>
      </c>
      <c r="BW3" s="100"/>
      <c r="BX3" s="100"/>
      <c r="BY3" s="100" t="s">
        <v>23</v>
      </c>
      <c r="BZ3" s="100"/>
      <c r="CA3" s="100"/>
      <c r="CB3" s="100" t="s">
        <v>24</v>
      </c>
      <c r="CC3" s="100"/>
      <c r="CD3" s="100"/>
      <c r="CE3" s="100" t="s">
        <v>25</v>
      </c>
      <c r="CF3" s="100"/>
      <c r="CG3" s="100"/>
      <c r="CH3" s="100" t="s">
        <v>26</v>
      </c>
      <c r="CI3" s="100"/>
      <c r="CJ3" s="100"/>
      <c r="CK3" s="100" t="s">
        <v>27</v>
      </c>
      <c r="CL3" s="100"/>
      <c r="CM3" s="100"/>
      <c r="CN3" s="100" t="s">
        <v>28</v>
      </c>
      <c r="CO3" s="100"/>
      <c r="CP3" s="100"/>
      <c r="CQ3" s="100" t="s">
        <v>29</v>
      </c>
      <c r="CR3" s="100"/>
      <c r="CS3" s="100"/>
      <c r="CT3" s="100" t="s">
        <v>30</v>
      </c>
      <c r="CU3" s="100"/>
      <c r="CV3" s="100"/>
    </row>
    <row r="4" spans="1:100" x14ac:dyDescent="0.25">
      <c r="A4" s="101"/>
      <c r="B4" s="47" t="s">
        <v>189</v>
      </c>
      <c r="C4" s="47" t="s">
        <v>190</v>
      </c>
      <c r="D4" s="47" t="s">
        <v>161</v>
      </c>
      <c r="E4" s="47" t="s">
        <v>189</v>
      </c>
      <c r="F4" s="47" t="s">
        <v>190</v>
      </c>
      <c r="G4" s="47" t="s">
        <v>161</v>
      </c>
      <c r="H4" s="47" t="s">
        <v>189</v>
      </c>
      <c r="I4" s="47" t="s">
        <v>190</v>
      </c>
      <c r="J4" s="47" t="s">
        <v>161</v>
      </c>
      <c r="K4" s="47" t="s">
        <v>189</v>
      </c>
      <c r="L4" s="47" t="s">
        <v>190</v>
      </c>
      <c r="M4" s="47" t="s">
        <v>161</v>
      </c>
      <c r="N4" s="47" t="s">
        <v>189</v>
      </c>
      <c r="O4" s="47" t="s">
        <v>190</v>
      </c>
      <c r="P4" s="47" t="s">
        <v>161</v>
      </c>
      <c r="Q4" s="47" t="s">
        <v>189</v>
      </c>
      <c r="R4" s="47" t="s">
        <v>190</v>
      </c>
      <c r="S4" s="47" t="s">
        <v>161</v>
      </c>
      <c r="T4" s="47" t="s">
        <v>189</v>
      </c>
      <c r="U4" s="47" t="s">
        <v>190</v>
      </c>
      <c r="V4" s="47" t="s">
        <v>161</v>
      </c>
      <c r="W4" s="47" t="s">
        <v>189</v>
      </c>
      <c r="X4" s="47" t="s">
        <v>190</v>
      </c>
      <c r="Y4" s="47" t="s">
        <v>161</v>
      </c>
      <c r="Z4" s="47" t="s">
        <v>189</v>
      </c>
      <c r="AA4" s="47" t="s">
        <v>190</v>
      </c>
      <c r="AB4" s="47" t="s">
        <v>161</v>
      </c>
      <c r="AC4" s="47" t="s">
        <v>189</v>
      </c>
      <c r="AD4" s="47" t="s">
        <v>190</v>
      </c>
      <c r="AE4" s="47" t="s">
        <v>161</v>
      </c>
      <c r="AF4" s="47" t="s">
        <v>189</v>
      </c>
      <c r="AG4" s="47" t="s">
        <v>190</v>
      </c>
      <c r="AH4" s="47" t="s">
        <v>161</v>
      </c>
      <c r="AI4" s="47" t="s">
        <v>189</v>
      </c>
      <c r="AJ4" s="47" t="s">
        <v>190</v>
      </c>
      <c r="AK4" s="47" t="s">
        <v>161</v>
      </c>
      <c r="AL4" s="47" t="s">
        <v>189</v>
      </c>
      <c r="AM4" s="47" t="s">
        <v>190</v>
      </c>
      <c r="AN4" s="47" t="s">
        <v>161</v>
      </c>
      <c r="AO4" s="47" t="s">
        <v>189</v>
      </c>
      <c r="AP4" s="47" t="s">
        <v>190</v>
      </c>
      <c r="AQ4" s="47" t="s">
        <v>161</v>
      </c>
      <c r="AR4" s="47" t="s">
        <v>189</v>
      </c>
      <c r="AS4" s="47" t="s">
        <v>190</v>
      </c>
      <c r="AT4" s="47" t="s">
        <v>161</v>
      </c>
      <c r="AU4" s="47" t="s">
        <v>189</v>
      </c>
      <c r="AV4" s="47" t="s">
        <v>190</v>
      </c>
      <c r="AW4" s="47" t="s">
        <v>161</v>
      </c>
      <c r="AX4" s="47" t="s">
        <v>189</v>
      </c>
      <c r="AY4" s="47" t="s">
        <v>190</v>
      </c>
      <c r="AZ4" s="47" t="s">
        <v>161</v>
      </c>
      <c r="BA4" s="47" t="s">
        <v>189</v>
      </c>
      <c r="BB4" s="47" t="s">
        <v>190</v>
      </c>
      <c r="BC4" s="47" t="s">
        <v>161</v>
      </c>
      <c r="BD4" s="47" t="s">
        <v>189</v>
      </c>
      <c r="BE4" s="47" t="s">
        <v>190</v>
      </c>
      <c r="BF4" s="47" t="s">
        <v>161</v>
      </c>
      <c r="BG4" s="47" t="s">
        <v>189</v>
      </c>
      <c r="BH4" s="47" t="s">
        <v>190</v>
      </c>
      <c r="BI4" s="47" t="s">
        <v>161</v>
      </c>
      <c r="BJ4" s="47" t="s">
        <v>189</v>
      </c>
      <c r="BK4" s="47" t="s">
        <v>190</v>
      </c>
      <c r="BL4" s="47" t="s">
        <v>161</v>
      </c>
      <c r="BM4" s="47" t="s">
        <v>189</v>
      </c>
      <c r="BN4" s="47" t="s">
        <v>190</v>
      </c>
      <c r="BO4" s="47" t="s">
        <v>161</v>
      </c>
      <c r="BP4" s="47" t="s">
        <v>189</v>
      </c>
      <c r="BQ4" s="47" t="s">
        <v>190</v>
      </c>
      <c r="BR4" s="47" t="s">
        <v>161</v>
      </c>
      <c r="BS4" s="47" t="s">
        <v>189</v>
      </c>
      <c r="BT4" s="47" t="s">
        <v>190</v>
      </c>
      <c r="BU4" s="47" t="s">
        <v>161</v>
      </c>
      <c r="BV4" s="47" t="s">
        <v>189</v>
      </c>
      <c r="BW4" s="47" t="s">
        <v>190</v>
      </c>
      <c r="BX4" s="47" t="s">
        <v>161</v>
      </c>
      <c r="BY4" s="47" t="s">
        <v>189</v>
      </c>
      <c r="BZ4" s="47" t="s">
        <v>190</v>
      </c>
      <c r="CA4" s="47" t="s">
        <v>161</v>
      </c>
      <c r="CB4" s="47" t="s">
        <v>189</v>
      </c>
      <c r="CC4" s="47" t="s">
        <v>190</v>
      </c>
      <c r="CD4" s="47" t="s">
        <v>161</v>
      </c>
      <c r="CE4" s="47" t="s">
        <v>189</v>
      </c>
      <c r="CF4" s="47" t="s">
        <v>190</v>
      </c>
      <c r="CG4" s="47" t="s">
        <v>161</v>
      </c>
      <c r="CH4" s="47" t="s">
        <v>189</v>
      </c>
      <c r="CI4" s="47" t="s">
        <v>190</v>
      </c>
      <c r="CJ4" s="47" t="s">
        <v>161</v>
      </c>
      <c r="CK4" s="47" t="s">
        <v>189</v>
      </c>
      <c r="CL4" s="47" t="s">
        <v>190</v>
      </c>
      <c r="CM4" s="47" t="s">
        <v>161</v>
      </c>
      <c r="CN4" s="47" t="s">
        <v>189</v>
      </c>
      <c r="CO4" s="47" t="s">
        <v>190</v>
      </c>
      <c r="CP4" s="47" t="s">
        <v>161</v>
      </c>
      <c r="CQ4" s="47" t="s">
        <v>189</v>
      </c>
      <c r="CR4" s="47" t="s">
        <v>190</v>
      </c>
      <c r="CS4" s="47" t="s">
        <v>161</v>
      </c>
      <c r="CT4" s="47" t="s">
        <v>189</v>
      </c>
      <c r="CU4" s="47" t="s">
        <v>190</v>
      </c>
      <c r="CV4" s="47" t="s">
        <v>161</v>
      </c>
    </row>
    <row r="5" spans="1:100" x14ac:dyDescent="0.25">
      <c r="A5" s="62" t="s">
        <v>191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</row>
    <row r="6" spans="1:100" ht="30" x14ac:dyDescent="0.25">
      <c r="A6" s="64" t="s">
        <v>192</v>
      </c>
      <c r="B6" s="63">
        <v>324973</v>
      </c>
      <c r="C6" s="63">
        <v>480509</v>
      </c>
      <c r="D6" s="63">
        <f t="shared" ref="D6:D19" si="0">B6+C6</f>
        <v>805482</v>
      </c>
      <c r="E6" s="63">
        <v>741801</v>
      </c>
      <c r="F6" s="63">
        <v>1448200</v>
      </c>
      <c r="G6" s="63">
        <f>F6+E6</f>
        <v>2190001</v>
      </c>
      <c r="H6" s="63"/>
      <c r="I6" s="63"/>
      <c r="J6" s="63">
        <v>17069905</v>
      </c>
      <c r="K6" s="63">
        <v>19439794</v>
      </c>
      <c r="L6" s="63">
        <v>70833416</v>
      </c>
      <c r="M6" s="63">
        <f>L6+K6</f>
        <v>90273210</v>
      </c>
      <c r="N6" s="63">
        <v>2020082</v>
      </c>
      <c r="O6" s="63">
        <v>11122939</v>
      </c>
      <c r="P6" s="63">
        <f>O6+N6</f>
        <v>13143021</v>
      </c>
      <c r="Q6" s="63">
        <v>7078921</v>
      </c>
      <c r="R6" s="63">
        <v>63807362</v>
      </c>
      <c r="S6" s="63">
        <f>R6+Q6</f>
        <v>70886283</v>
      </c>
      <c r="T6" s="63">
        <v>52750</v>
      </c>
      <c r="U6" s="63">
        <v>259569</v>
      </c>
      <c r="V6" s="63">
        <f>U6+T6</f>
        <v>312319</v>
      </c>
      <c r="W6" s="63">
        <f>10292646.04+5129537.9</f>
        <v>15422183.939999999</v>
      </c>
      <c r="X6" s="63">
        <f>13643740.11+6799620.01</f>
        <v>20443360.119999997</v>
      </c>
      <c r="Y6" s="63">
        <f>X6+W6</f>
        <v>35865544.059999995</v>
      </c>
      <c r="Z6" s="63">
        <v>3183541</v>
      </c>
      <c r="AA6" s="63">
        <v>12594753</v>
      </c>
      <c r="AB6" s="63">
        <f>AA6+Z6</f>
        <v>15778294</v>
      </c>
      <c r="AC6" s="63">
        <v>2640142</v>
      </c>
      <c r="AD6" s="63">
        <v>16900425</v>
      </c>
      <c r="AE6" s="63">
        <f>AD6+AC6</f>
        <v>19540567</v>
      </c>
      <c r="AF6" s="63">
        <v>6926098</v>
      </c>
      <c r="AG6" s="63">
        <v>32932589</v>
      </c>
      <c r="AH6" s="63">
        <f>AG6+AF6</f>
        <v>39858687</v>
      </c>
      <c r="AI6" s="63">
        <v>1691686</v>
      </c>
      <c r="AJ6" s="63">
        <v>5075058</v>
      </c>
      <c r="AK6" s="63">
        <f>AJ6+AI6</f>
        <v>6766744</v>
      </c>
      <c r="AL6" s="63">
        <v>20629005</v>
      </c>
      <c r="AM6" s="63">
        <v>70877087</v>
      </c>
      <c r="AN6" s="63">
        <f>AM6+AL6</f>
        <v>91506092</v>
      </c>
      <c r="AO6" s="63">
        <v>7839103</v>
      </c>
      <c r="AP6" s="63">
        <v>28332044</v>
      </c>
      <c r="AQ6" s="63">
        <f>AP6+AO6</f>
        <v>36171147</v>
      </c>
      <c r="AR6" s="63">
        <v>762065</v>
      </c>
      <c r="AS6" s="63">
        <v>2420042</v>
      </c>
      <c r="AT6" s="63">
        <f>AS6+AR6</f>
        <v>3182107</v>
      </c>
      <c r="AU6" s="63">
        <v>1604847</v>
      </c>
      <c r="AV6" s="63">
        <v>4362368</v>
      </c>
      <c r="AW6" s="63">
        <f>AV6+AU6</f>
        <v>5967215</v>
      </c>
      <c r="AX6" s="63">
        <v>1046775</v>
      </c>
      <c r="AY6" s="63">
        <v>6577609</v>
      </c>
      <c r="AZ6" s="63">
        <f>AY6+AX6</f>
        <v>7624384</v>
      </c>
      <c r="BA6" s="63">
        <v>350118</v>
      </c>
      <c r="BB6" s="63">
        <v>1052516</v>
      </c>
      <c r="BC6" s="63">
        <f>BB6+BA6</f>
        <v>1402634</v>
      </c>
      <c r="BD6" s="63">
        <v>562946</v>
      </c>
      <c r="BE6" s="63">
        <v>1558064</v>
      </c>
      <c r="BF6" s="63">
        <f>BE6+BD6</f>
        <v>2121010</v>
      </c>
      <c r="BG6" s="63"/>
      <c r="BH6" s="63">
        <v>80557331</v>
      </c>
      <c r="BI6" s="63">
        <f>BH6+BG6</f>
        <v>80557331</v>
      </c>
      <c r="BJ6" s="63">
        <v>373384</v>
      </c>
      <c r="BK6" s="63">
        <v>514717</v>
      </c>
      <c r="BL6" s="63">
        <f>BK6+BJ6</f>
        <v>888101</v>
      </c>
      <c r="BM6" s="63">
        <v>76916487</v>
      </c>
      <c r="BN6" s="63">
        <v>162698037</v>
      </c>
      <c r="BO6" s="63">
        <f>BN6+BM6</f>
        <v>239614524</v>
      </c>
      <c r="BP6" s="63"/>
      <c r="BQ6" s="63"/>
      <c r="BR6" s="63">
        <v>105453996</v>
      </c>
      <c r="BS6" s="63">
        <v>399339</v>
      </c>
      <c r="BT6" s="63">
        <v>1224136</v>
      </c>
      <c r="BU6" s="63">
        <f>BT6+BS6</f>
        <v>1623475</v>
      </c>
      <c r="BV6" s="63">
        <v>3403104</v>
      </c>
      <c r="BW6" s="63">
        <v>20316428</v>
      </c>
      <c r="BX6" s="63">
        <f>BW6+BV6</f>
        <v>23719532</v>
      </c>
      <c r="BY6" s="63">
        <v>2930189</v>
      </c>
      <c r="BZ6" s="63">
        <v>3031123</v>
      </c>
      <c r="CA6" s="63">
        <f t="shared" ref="CA6:CA19" si="1">BZ6+BY6</f>
        <v>5961312</v>
      </c>
      <c r="CB6" s="63">
        <v>4238052</v>
      </c>
      <c r="CC6" s="63">
        <v>18111272</v>
      </c>
      <c r="CD6" s="63">
        <f>CC6+CB6</f>
        <v>22349324</v>
      </c>
      <c r="CE6" s="63">
        <v>3297892</v>
      </c>
      <c r="CF6" s="63">
        <v>13237054</v>
      </c>
      <c r="CG6" s="63">
        <f>CF6+CE6</f>
        <v>16534946</v>
      </c>
      <c r="CH6" s="63">
        <v>3327616</v>
      </c>
      <c r="CI6" s="63">
        <v>10983462</v>
      </c>
      <c r="CJ6" s="63">
        <f>CI6+CH6</f>
        <v>14311078</v>
      </c>
      <c r="CK6" s="63">
        <v>7546153</v>
      </c>
      <c r="CL6" s="63">
        <v>10464887</v>
      </c>
      <c r="CM6" s="63">
        <f>CL6+CK6</f>
        <v>18011040</v>
      </c>
      <c r="CN6" s="63">
        <v>9049435</v>
      </c>
      <c r="CO6" s="63">
        <v>36040687</v>
      </c>
      <c r="CP6" s="63">
        <f>CO6+CN6</f>
        <v>45090122</v>
      </c>
      <c r="CQ6" s="63"/>
      <c r="CR6" s="63"/>
      <c r="CS6" s="63">
        <v>115984430</v>
      </c>
      <c r="CT6" s="63">
        <v>2852840</v>
      </c>
      <c r="CU6" s="63">
        <v>7735324</v>
      </c>
      <c r="CV6" s="63">
        <f>CU6+CT6</f>
        <v>10588164</v>
      </c>
    </row>
    <row r="7" spans="1:100" ht="15" customHeight="1" x14ac:dyDescent="0.25">
      <c r="A7" s="64" t="s">
        <v>193</v>
      </c>
      <c r="B7" s="63"/>
      <c r="C7" s="63"/>
      <c r="D7" s="63">
        <f t="shared" si="0"/>
        <v>0</v>
      </c>
      <c r="E7" s="63">
        <v>1475746</v>
      </c>
      <c r="F7" s="63">
        <v>1617302</v>
      </c>
      <c r="G7" s="63">
        <f t="shared" ref="G7:G19" si="2">F7+E7</f>
        <v>3093048</v>
      </c>
      <c r="H7" s="63"/>
      <c r="I7" s="63"/>
      <c r="J7" s="63">
        <v>15352877</v>
      </c>
      <c r="K7" s="63"/>
      <c r="L7" s="63"/>
      <c r="M7" s="63">
        <f t="shared" ref="M7:M19" si="3">L7+K7</f>
        <v>0</v>
      </c>
      <c r="N7" s="63">
        <v>768592</v>
      </c>
      <c r="O7" s="63">
        <v>4232004</v>
      </c>
      <c r="P7" s="63">
        <f t="shared" ref="P7:P19" si="4">O7+N7</f>
        <v>5000596</v>
      </c>
      <c r="Q7" s="63"/>
      <c r="R7" s="63"/>
      <c r="S7" s="63">
        <f t="shared" ref="S7:S19" si="5">R7+Q7</f>
        <v>0</v>
      </c>
      <c r="T7" s="63">
        <v>57476</v>
      </c>
      <c r="U7" s="63">
        <v>361320</v>
      </c>
      <c r="V7" s="63">
        <f t="shared" ref="V7:V19" si="6">U7+T7</f>
        <v>418796</v>
      </c>
      <c r="W7" s="63">
        <v>1053256.54</v>
      </c>
      <c r="X7" s="63">
        <v>1396177.28</v>
      </c>
      <c r="Y7" s="63">
        <f t="shared" ref="Y7:Y19" si="7">X7+W7</f>
        <v>2449433.8200000003</v>
      </c>
      <c r="Z7" s="63"/>
      <c r="AA7" s="63"/>
      <c r="AB7" s="63">
        <f t="shared" ref="AB7:AB19" si="8">AA7+Z7</f>
        <v>0</v>
      </c>
      <c r="AC7" s="63">
        <v>208529</v>
      </c>
      <c r="AD7" s="63">
        <v>1414451</v>
      </c>
      <c r="AE7" s="63">
        <f t="shared" ref="AE7:AE19" si="9">AD7+AC7</f>
        <v>1622980</v>
      </c>
      <c r="AF7" s="63">
        <v>2454564</v>
      </c>
      <c r="AG7" s="63">
        <v>11671095</v>
      </c>
      <c r="AH7" s="63">
        <f t="shared" ref="AH7:AH19" si="10">AG7+AF7</f>
        <v>14125659</v>
      </c>
      <c r="AI7" s="63"/>
      <c r="AJ7" s="63"/>
      <c r="AK7" s="63">
        <f t="shared" ref="AK7:AK19" si="11">AJ7+AI7</f>
        <v>0</v>
      </c>
      <c r="AL7" s="63"/>
      <c r="AM7" s="63"/>
      <c r="AN7" s="63">
        <f t="shared" ref="AN7:AN19" si="12">AM7+AL7</f>
        <v>0</v>
      </c>
      <c r="AO7" s="63">
        <v>1016429</v>
      </c>
      <c r="AP7" s="63">
        <v>3673571</v>
      </c>
      <c r="AQ7" s="63">
        <f t="shared" ref="AQ7:AQ19" si="13">AP7+AO7</f>
        <v>4690000</v>
      </c>
      <c r="AR7" s="63"/>
      <c r="AS7" s="63"/>
      <c r="AT7" s="63">
        <f t="shared" ref="AT7:AT19" si="14">AS7+AR7</f>
        <v>0</v>
      </c>
      <c r="AU7" s="63">
        <v>1010794</v>
      </c>
      <c r="AV7" s="63">
        <v>2747584</v>
      </c>
      <c r="AW7" s="63">
        <f t="shared" ref="AW7:AW19" si="15">AV7+AU7</f>
        <v>3758378</v>
      </c>
      <c r="AX7" s="63">
        <v>239759</v>
      </c>
      <c r="AY7" s="63">
        <v>1506570</v>
      </c>
      <c r="AZ7" s="63">
        <f t="shared" ref="AZ7:AZ19" si="16">AY7+AX7</f>
        <v>1746329</v>
      </c>
      <c r="BA7" s="63">
        <v>154097</v>
      </c>
      <c r="BB7" s="63">
        <v>669205</v>
      </c>
      <c r="BC7" s="63">
        <f t="shared" ref="BC7:BC19" si="17">BB7+BA7</f>
        <v>823302</v>
      </c>
      <c r="BD7" s="63">
        <v>811221</v>
      </c>
      <c r="BE7" s="63">
        <v>309988</v>
      </c>
      <c r="BF7" s="63">
        <f t="shared" ref="BF7:BF19" si="18">BE7+BD7</f>
        <v>1121209</v>
      </c>
      <c r="BG7" s="63"/>
      <c r="BH7" s="63">
        <v>278325</v>
      </c>
      <c r="BI7" s="63">
        <f t="shared" ref="BI7:BI19" si="19">BH7+BG7</f>
        <v>278325</v>
      </c>
      <c r="BJ7" s="63">
        <v>255945</v>
      </c>
      <c r="BK7" s="63">
        <v>260581</v>
      </c>
      <c r="BL7" s="63">
        <f t="shared" ref="BL7:BL19" si="20">BK7+BJ7</f>
        <v>516526</v>
      </c>
      <c r="BM7" s="63"/>
      <c r="BN7" s="63"/>
      <c r="BO7" s="63">
        <f t="shared" ref="BO7:BO19" si="21">BN7+BM7</f>
        <v>0</v>
      </c>
      <c r="BP7" s="63"/>
      <c r="BQ7" s="63"/>
      <c r="BR7" s="63">
        <v>659310</v>
      </c>
      <c r="BS7" s="63"/>
      <c r="BT7" s="63"/>
      <c r="BU7" s="63">
        <f t="shared" ref="BU7:BU19" si="22">BT7+BS7</f>
        <v>0</v>
      </c>
      <c r="BV7" s="63">
        <v>1889141</v>
      </c>
      <c r="BW7" s="63">
        <v>11278117</v>
      </c>
      <c r="BX7" s="63">
        <f t="shared" ref="BX7:BX19" si="23">BW7+BV7</f>
        <v>13167258</v>
      </c>
      <c r="BY7" s="63">
        <v>219613</v>
      </c>
      <c r="BZ7" s="63">
        <v>1008843</v>
      </c>
      <c r="CA7" s="63">
        <f t="shared" si="1"/>
        <v>1228456</v>
      </c>
      <c r="CB7" s="63"/>
      <c r="CC7" s="63"/>
      <c r="CD7" s="63">
        <f t="shared" ref="CD7:CD19" si="24">CC7+CB7</f>
        <v>0</v>
      </c>
      <c r="CE7" s="63">
        <v>904905</v>
      </c>
      <c r="CF7" s="63">
        <v>8246113</v>
      </c>
      <c r="CG7" s="63">
        <f t="shared" ref="CG7:CG19" si="25">CF7+CE7</f>
        <v>9151018</v>
      </c>
      <c r="CH7" s="63">
        <v>179100</v>
      </c>
      <c r="CI7" s="63"/>
      <c r="CJ7" s="63">
        <f t="shared" ref="CJ7:CJ19" si="26">CI7+CH7</f>
        <v>179100</v>
      </c>
      <c r="CK7" s="63">
        <v>3562416</v>
      </c>
      <c r="CL7" s="63">
        <v>4940302</v>
      </c>
      <c r="CM7" s="63">
        <f t="shared" ref="CM7:CM19" si="27">CL7+CK7</f>
        <v>8502718</v>
      </c>
      <c r="CN7" s="63"/>
      <c r="CO7" s="63"/>
      <c r="CP7" s="63">
        <f t="shared" ref="CP7:CP19" si="28">CO7+CN7</f>
        <v>0</v>
      </c>
      <c r="CQ7" s="63"/>
      <c r="CR7" s="63"/>
      <c r="CS7" s="63">
        <f t="shared" ref="CS7:CS17" si="29">CR7+CQ7</f>
        <v>0</v>
      </c>
      <c r="CT7" s="63"/>
      <c r="CU7" s="63"/>
      <c r="CV7" s="63">
        <f t="shared" ref="CV7:CV19" si="30">CU7+CT7</f>
        <v>0</v>
      </c>
    </row>
    <row r="8" spans="1:100" ht="15" customHeight="1" x14ac:dyDescent="0.25">
      <c r="A8" s="64" t="s">
        <v>194</v>
      </c>
      <c r="B8" s="63"/>
      <c r="C8" s="63"/>
      <c r="D8" s="63">
        <f t="shared" si="0"/>
        <v>0</v>
      </c>
      <c r="E8" s="63"/>
      <c r="F8" s="63"/>
      <c r="G8" s="63">
        <f t="shared" si="2"/>
        <v>0</v>
      </c>
      <c r="H8" s="63"/>
      <c r="I8" s="63"/>
      <c r="J8" s="63">
        <f t="shared" ref="J8:J17" si="31">I8+H8</f>
        <v>0</v>
      </c>
      <c r="K8" s="63"/>
      <c r="L8" s="63"/>
      <c r="M8" s="63">
        <f t="shared" si="3"/>
        <v>0</v>
      </c>
      <c r="N8" s="63"/>
      <c r="O8" s="63"/>
      <c r="P8" s="63">
        <f t="shared" si="4"/>
        <v>0</v>
      </c>
      <c r="Q8" s="63"/>
      <c r="R8" s="63"/>
      <c r="S8" s="63">
        <f t="shared" si="5"/>
        <v>0</v>
      </c>
      <c r="T8" s="63"/>
      <c r="U8" s="63"/>
      <c r="V8" s="63">
        <f t="shared" si="6"/>
        <v>0</v>
      </c>
      <c r="W8" s="63"/>
      <c r="X8" s="63"/>
      <c r="Y8" s="63">
        <f t="shared" si="7"/>
        <v>0</v>
      </c>
      <c r="Z8" s="63"/>
      <c r="AA8" s="63"/>
      <c r="AB8" s="63">
        <f t="shared" si="8"/>
        <v>0</v>
      </c>
      <c r="AC8" s="63"/>
      <c r="AD8" s="63"/>
      <c r="AE8" s="63">
        <f t="shared" si="9"/>
        <v>0</v>
      </c>
      <c r="AF8" s="63"/>
      <c r="AG8" s="63"/>
      <c r="AH8" s="63">
        <f t="shared" si="10"/>
        <v>0</v>
      </c>
      <c r="AI8" s="63"/>
      <c r="AJ8" s="63"/>
      <c r="AK8" s="63">
        <f t="shared" si="11"/>
        <v>0</v>
      </c>
      <c r="AL8" s="63"/>
      <c r="AM8" s="63"/>
      <c r="AN8" s="63">
        <f t="shared" si="12"/>
        <v>0</v>
      </c>
      <c r="AO8" s="63"/>
      <c r="AP8" s="63"/>
      <c r="AQ8" s="63">
        <f t="shared" si="13"/>
        <v>0</v>
      </c>
      <c r="AR8" s="63"/>
      <c r="AS8" s="63"/>
      <c r="AT8" s="63">
        <f t="shared" si="14"/>
        <v>0</v>
      </c>
      <c r="AU8" s="63"/>
      <c r="AV8" s="63"/>
      <c r="AW8" s="63">
        <f t="shared" si="15"/>
        <v>0</v>
      </c>
      <c r="AX8" s="63"/>
      <c r="AY8" s="63"/>
      <c r="AZ8" s="63">
        <f t="shared" si="16"/>
        <v>0</v>
      </c>
      <c r="BA8" s="63"/>
      <c r="BB8" s="63"/>
      <c r="BC8" s="63">
        <f t="shared" si="17"/>
        <v>0</v>
      </c>
      <c r="BD8" s="63"/>
      <c r="BE8" s="63"/>
      <c r="BF8" s="63">
        <f t="shared" si="18"/>
        <v>0</v>
      </c>
      <c r="BG8" s="63"/>
      <c r="BH8" s="63"/>
      <c r="BI8" s="63">
        <f t="shared" si="19"/>
        <v>0</v>
      </c>
      <c r="BJ8" s="63"/>
      <c r="BK8" s="63"/>
      <c r="BL8" s="63">
        <f t="shared" si="20"/>
        <v>0</v>
      </c>
      <c r="BM8" s="63"/>
      <c r="BN8" s="63"/>
      <c r="BO8" s="63">
        <f t="shared" si="21"/>
        <v>0</v>
      </c>
      <c r="BP8" s="63"/>
      <c r="BQ8" s="63"/>
      <c r="BR8" s="63">
        <f t="shared" ref="BR8:BR19" si="32">BQ8+BP8</f>
        <v>0</v>
      </c>
      <c r="BS8" s="63"/>
      <c r="BT8" s="63"/>
      <c r="BU8" s="63">
        <f t="shared" si="22"/>
        <v>0</v>
      </c>
      <c r="BV8" s="63"/>
      <c r="BW8" s="63"/>
      <c r="BX8" s="63">
        <f t="shared" si="23"/>
        <v>0</v>
      </c>
      <c r="BY8" s="63"/>
      <c r="BZ8" s="63"/>
      <c r="CA8" s="63">
        <f t="shared" si="1"/>
        <v>0</v>
      </c>
      <c r="CB8" s="63"/>
      <c r="CC8" s="63"/>
      <c r="CD8" s="63">
        <f t="shared" si="24"/>
        <v>0</v>
      </c>
      <c r="CE8" s="63"/>
      <c r="CF8" s="63"/>
      <c r="CG8" s="63">
        <f t="shared" si="25"/>
        <v>0</v>
      </c>
      <c r="CH8" s="63"/>
      <c r="CI8" s="63"/>
      <c r="CJ8" s="63">
        <f t="shared" si="26"/>
        <v>0</v>
      </c>
      <c r="CK8" s="63"/>
      <c r="CL8" s="63"/>
      <c r="CM8" s="63">
        <f t="shared" si="27"/>
        <v>0</v>
      </c>
      <c r="CN8" s="63"/>
      <c r="CO8" s="63"/>
      <c r="CP8" s="63">
        <f t="shared" si="28"/>
        <v>0</v>
      </c>
      <c r="CQ8" s="63"/>
      <c r="CR8" s="63"/>
      <c r="CS8" s="63">
        <f t="shared" si="29"/>
        <v>0</v>
      </c>
      <c r="CT8" s="63"/>
      <c r="CU8" s="63"/>
      <c r="CV8" s="63">
        <f t="shared" si="30"/>
        <v>0</v>
      </c>
    </row>
    <row r="9" spans="1:100" ht="15" customHeight="1" x14ac:dyDescent="0.25">
      <c r="A9" s="64" t="s">
        <v>195</v>
      </c>
      <c r="B9" s="63"/>
      <c r="C9" s="63"/>
      <c r="D9" s="63">
        <f t="shared" si="0"/>
        <v>0</v>
      </c>
      <c r="E9" s="63"/>
      <c r="F9" s="63"/>
      <c r="G9" s="63">
        <f t="shared" si="2"/>
        <v>0</v>
      </c>
      <c r="H9" s="63"/>
      <c r="I9" s="63"/>
      <c r="J9" s="63">
        <f t="shared" si="31"/>
        <v>0</v>
      </c>
      <c r="K9" s="63"/>
      <c r="L9" s="63"/>
      <c r="M9" s="63">
        <f t="shared" si="3"/>
        <v>0</v>
      </c>
      <c r="N9" s="63"/>
      <c r="O9" s="63"/>
      <c r="P9" s="63">
        <f t="shared" si="4"/>
        <v>0</v>
      </c>
      <c r="Q9" s="63"/>
      <c r="R9" s="63"/>
      <c r="S9" s="63">
        <f t="shared" si="5"/>
        <v>0</v>
      </c>
      <c r="T9" s="63"/>
      <c r="U9" s="63"/>
      <c r="V9" s="63">
        <f t="shared" si="6"/>
        <v>0</v>
      </c>
      <c r="W9" s="63"/>
      <c r="X9" s="63"/>
      <c r="Y9" s="63">
        <f t="shared" si="7"/>
        <v>0</v>
      </c>
      <c r="Z9" s="63"/>
      <c r="AA9" s="63"/>
      <c r="AB9" s="63">
        <f t="shared" si="8"/>
        <v>0</v>
      </c>
      <c r="AC9" s="63"/>
      <c r="AD9" s="63"/>
      <c r="AE9" s="63">
        <f t="shared" si="9"/>
        <v>0</v>
      </c>
      <c r="AF9" s="63"/>
      <c r="AG9" s="63"/>
      <c r="AH9" s="63">
        <f t="shared" si="10"/>
        <v>0</v>
      </c>
      <c r="AI9" s="63"/>
      <c r="AJ9" s="63"/>
      <c r="AK9" s="63">
        <f t="shared" si="11"/>
        <v>0</v>
      </c>
      <c r="AL9" s="63"/>
      <c r="AM9" s="63"/>
      <c r="AN9" s="63">
        <f t="shared" si="12"/>
        <v>0</v>
      </c>
      <c r="AO9" s="63"/>
      <c r="AP9" s="63"/>
      <c r="AQ9" s="63">
        <f t="shared" si="13"/>
        <v>0</v>
      </c>
      <c r="AR9" s="63"/>
      <c r="AS9" s="63"/>
      <c r="AT9" s="63">
        <f t="shared" si="14"/>
        <v>0</v>
      </c>
      <c r="AU9" s="63"/>
      <c r="AV9" s="63"/>
      <c r="AW9" s="63">
        <f t="shared" si="15"/>
        <v>0</v>
      </c>
      <c r="AX9" s="63"/>
      <c r="AY9" s="63"/>
      <c r="AZ9" s="63">
        <f t="shared" si="16"/>
        <v>0</v>
      </c>
      <c r="BA9" s="63"/>
      <c r="BB9" s="63"/>
      <c r="BC9" s="63">
        <f t="shared" si="17"/>
        <v>0</v>
      </c>
      <c r="BD9" s="63"/>
      <c r="BE9" s="63"/>
      <c r="BF9" s="63">
        <f t="shared" si="18"/>
        <v>0</v>
      </c>
      <c r="BG9" s="63"/>
      <c r="BH9" s="63"/>
      <c r="BI9" s="63">
        <f t="shared" si="19"/>
        <v>0</v>
      </c>
      <c r="BJ9" s="63"/>
      <c r="BK9" s="63"/>
      <c r="BL9" s="63">
        <f t="shared" si="20"/>
        <v>0</v>
      </c>
      <c r="BM9" s="63"/>
      <c r="BN9" s="63"/>
      <c r="BO9" s="63">
        <f t="shared" si="21"/>
        <v>0</v>
      </c>
      <c r="BP9" s="63"/>
      <c r="BQ9" s="63"/>
      <c r="BR9" s="63">
        <f t="shared" si="32"/>
        <v>0</v>
      </c>
      <c r="BS9" s="63"/>
      <c r="BT9" s="63"/>
      <c r="BU9" s="63">
        <f t="shared" si="22"/>
        <v>0</v>
      </c>
      <c r="BV9" s="63"/>
      <c r="BW9" s="63"/>
      <c r="BX9" s="63">
        <f t="shared" si="23"/>
        <v>0</v>
      </c>
      <c r="BY9" s="63"/>
      <c r="BZ9" s="63"/>
      <c r="CA9" s="63">
        <f t="shared" si="1"/>
        <v>0</v>
      </c>
      <c r="CB9" s="63"/>
      <c r="CC9" s="63"/>
      <c r="CD9" s="63">
        <f t="shared" si="24"/>
        <v>0</v>
      </c>
      <c r="CE9" s="63"/>
      <c r="CF9" s="63"/>
      <c r="CG9" s="63">
        <f t="shared" si="25"/>
        <v>0</v>
      </c>
      <c r="CH9" s="63"/>
      <c r="CI9" s="63"/>
      <c r="CJ9" s="63">
        <f t="shared" si="26"/>
        <v>0</v>
      </c>
      <c r="CK9" s="63"/>
      <c r="CL9" s="63"/>
      <c r="CM9" s="63">
        <f t="shared" si="27"/>
        <v>0</v>
      </c>
      <c r="CN9" s="63"/>
      <c r="CO9" s="63"/>
      <c r="CP9" s="63">
        <f t="shared" si="28"/>
        <v>0</v>
      </c>
      <c r="CQ9" s="63"/>
      <c r="CR9" s="63"/>
      <c r="CS9" s="63">
        <f t="shared" si="29"/>
        <v>0</v>
      </c>
      <c r="CT9" s="63"/>
      <c r="CU9" s="63"/>
      <c r="CV9" s="63">
        <f t="shared" si="30"/>
        <v>0</v>
      </c>
    </row>
    <row r="10" spans="1:100" ht="15" customHeight="1" x14ac:dyDescent="0.25">
      <c r="A10" s="64" t="s">
        <v>196</v>
      </c>
      <c r="B10" s="63"/>
      <c r="C10" s="63"/>
      <c r="D10" s="63">
        <f t="shared" si="0"/>
        <v>0</v>
      </c>
      <c r="E10" s="63"/>
      <c r="F10" s="63"/>
      <c r="G10" s="63">
        <f t="shared" si="2"/>
        <v>0</v>
      </c>
      <c r="H10" s="63"/>
      <c r="I10" s="63"/>
      <c r="J10" s="63">
        <v>2429618</v>
      </c>
      <c r="K10" s="63">
        <v>4603065</v>
      </c>
      <c r="L10" s="63">
        <v>12560208</v>
      </c>
      <c r="M10" s="63">
        <f t="shared" si="3"/>
        <v>17163273</v>
      </c>
      <c r="N10" s="63">
        <v>290039</v>
      </c>
      <c r="O10" s="63">
        <v>1597005</v>
      </c>
      <c r="P10" s="63">
        <f t="shared" si="4"/>
        <v>1887044</v>
      </c>
      <c r="Q10" s="63">
        <v>78303</v>
      </c>
      <c r="R10" s="63">
        <v>705804</v>
      </c>
      <c r="S10" s="63">
        <f t="shared" si="5"/>
        <v>784107</v>
      </c>
      <c r="T10" s="63"/>
      <c r="U10" s="63"/>
      <c r="V10" s="63">
        <f t="shared" si="6"/>
        <v>0</v>
      </c>
      <c r="W10" s="63">
        <v>6002932.6600000001</v>
      </c>
      <c r="X10" s="63">
        <v>7957375.8600000003</v>
      </c>
      <c r="Y10" s="63">
        <f t="shared" si="7"/>
        <v>13960308.52</v>
      </c>
      <c r="Z10" s="63">
        <v>11736</v>
      </c>
      <c r="AA10" s="63">
        <v>46432</v>
      </c>
      <c r="AB10" s="63">
        <f t="shared" si="8"/>
        <v>58168</v>
      </c>
      <c r="AC10" s="63">
        <v>1168170</v>
      </c>
      <c r="AD10" s="63">
        <v>1125154</v>
      </c>
      <c r="AE10" s="63">
        <f t="shared" si="9"/>
        <v>2293324</v>
      </c>
      <c r="AF10" s="63">
        <v>384933</v>
      </c>
      <c r="AG10" s="63">
        <v>1830299</v>
      </c>
      <c r="AH10" s="63">
        <f t="shared" si="10"/>
        <v>2215232</v>
      </c>
      <c r="AI10" s="63"/>
      <c r="AJ10" s="63"/>
      <c r="AK10" s="63">
        <f t="shared" si="11"/>
        <v>0</v>
      </c>
      <c r="AL10" s="63">
        <v>4803749</v>
      </c>
      <c r="AM10" s="63">
        <v>16504711</v>
      </c>
      <c r="AN10" s="63">
        <f t="shared" si="12"/>
        <v>21308460</v>
      </c>
      <c r="AO10" s="63">
        <v>4782</v>
      </c>
      <c r="AP10" s="63">
        <v>17284</v>
      </c>
      <c r="AQ10" s="63">
        <f t="shared" si="13"/>
        <v>22066</v>
      </c>
      <c r="AR10" s="63"/>
      <c r="AS10" s="63"/>
      <c r="AT10" s="63">
        <f t="shared" si="14"/>
        <v>0</v>
      </c>
      <c r="AU10" s="63"/>
      <c r="AV10" s="63"/>
      <c r="AW10" s="63">
        <f t="shared" si="15"/>
        <v>0</v>
      </c>
      <c r="AX10" s="63"/>
      <c r="AY10" s="63"/>
      <c r="AZ10" s="63">
        <f t="shared" si="16"/>
        <v>0</v>
      </c>
      <c r="BA10" s="63"/>
      <c r="BB10" s="63"/>
      <c r="BC10" s="63">
        <f t="shared" si="17"/>
        <v>0</v>
      </c>
      <c r="BD10" s="63"/>
      <c r="BE10" s="63"/>
      <c r="BF10" s="63">
        <f t="shared" si="18"/>
        <v>0</v>
      </c>
      <c r="BG10" s="63"/>
      <c r="BH10" s="63">
        <v>80558226</v>
      </c>
      <c r="BI10" s="63">
        <f t="shared" si="19"/>
        <v>80558226</v>
      </c>
      <c r="BJ10" s="63"/>
      <c r="BK10" s="63"/>
      <c r="BL10" s="63">
        <f t="shared" si="20"/>
        <v>0</v>
      </c>
      <c r="BM10" s="63">
        <v>54228416</v>
      </c>
      <c r="BN10" s="63">
        <v>126903500</v>
      </c>
      <c r="BO10" s="63">
        <f t="shared" si="21"/>
        <v>181131916</v>
      </c>
      <c r="BP10" s="63"/>
      <c r="BQ10" s="63"/>
      <c r="BR10" s="63">
        <v>58310419</v>
      </c>
      <c r="BS10" s="63"/>
      <c r="BT10" s="63"/>
      <c r="BU10" s="63">
        <f t="shared" si="22"/>
        <v>0</v>
      </c>
      <c r="BV10" s="63"/>
      <c r="BW10" s="63"/>
      <c r="BX10" s="63">
        <f t="shared" si="23"/>
        <v>0</v>
      </c>
      <c r="BY10" s="63">
        <v>11526</v>
      </c>
      <c r="BZ10" s="63"/>
      <c r="CA10" s="63">
        <f t="shared" si="1"/>
        <v>11526</v>
      </c>
      <c r="CB10" s="63">
        <v>50306</v>
      </c>
      <c r="CC10" s="63">
        <v>214981</v>
      </c>
      <c r="CD10" s="63">
        <f t="shared" si="24"/>
        <v>265287</v>
      </c>
      <c r="CE10" s="63">
        <v>2510971</v>
      </c>
      <c r="CF10" s="63"/>
      <c r="CG10" s="63">
        <f t="shared" si="25"/>
        <v>2510971</v>
      </c>
      <c r="CH10" s="63">
        <v>885957</v>
      </c>
      <c r="CI10" s="63"/>
      <c r="CJ10" s="63">
        <f t="shared" si="26"/>
        <v>885957</v>
      </c>
      <c r="CK10" s="63"/>
      <c r="CL10" s="63"/>
      <c r="CM10" s="63">
        <f t="shared" si="27"/>
        <v>0</v>
      </c>
      <c r="CN10" s="63">
        <v>1451892</v>
      </c>
      <c r="CO10" s="63">
        <v>5782370</v>
      </c>
      <c r="CP10" s="63">
        <f t="shared" si="28"/>
        <v>7234262</v>
      </c>
      <c r="CQ10" s="63"/>
      <c r="CR10" s="63"/>
      <c r="CS10" s="63">
        <v>63508884</v>
      </c>
      <c r="CT10" s="63"/>
      <c r="CU10" s="63"/>
      <c r="CV10" s="63">
        <f t="shared" si="30"/>
        <v>0</v>
      </c>
    </row>
    <row r="11" spans="1:100" ht="15" customHeight="1" x14ac:dyDescent="0.25">
      <c r="A11" s="64" t="s">
        <v>197</v>
      </c>
      <c r="B11" s="63"/>
      <c r="C11" s="63"/>
      <c r="D11" s="63">
        <f t="shared" si="0"/>
        <v>0</v>
      </c>
      <c r="E11" s="63"/>
      <c r="F11" s="63"/>
      <c r="G11" s="63">
        <f t="shared" si="2"/>
        <v>0</v>
      </c>
      <c r="H11" s="63"/>
      <c r="I11" s="63"/>
      <c r="J11" s="63">
        <f t="shared" si="31"/>
        <v>0</v>
      </c>
      <c r="K11" s="63"/>
      <c r="L11" s="63">
        <v>329882</v>
      </c>
      <c r="M11" s="63">
        <f t="shared" si="3"/>
        <v>329882</v>
      </c>
      <c r="N11" s="63"/>
      <c r="O11" s="63"/>
      <c r="P11" s="63">
        <f t="shared" si="4"/>
        <v>0</v>
      </c>
      <c r="Q11" s="63"/>
      <c r="R11" s="63"/>
      <c r="S11" s="63">
        <f t="shared" si="5"/>
        <v>0</v>
      </c>
      <c r="T11" s="63">
        <v>7045</v>
      </c>
      <c r="U11" s="63"/>
      <c r="V11" s="63">
        <f t="shared" si="6"/>
        <v>7045</v>
      </c>
      <c r="W11" s="63"/>
      <c r="X11" s="63"/>
      <c r="Y11" s="63">
        <f t="shared" si="7"/>
        <v>0</v>
      </c>
      <c r="Z11" s="63"/>
      <c r="AA11" s="63"/>
      <c r="AB11" s="63">
        <f t="shared" si="8"/>
        <v>0</v>
      </c>
      <c r="AC11" s="63"/>
      <c r="AD11" s="63"/>
      <c r="AE11" s="63">
        <f t="shared" si="9"/>
        <v>0</v>
      </c>
      <c r="AF11" s="63">
        <v>5962</v>
      </c>
      <c r="AG11" s="63">
        <v>28350</v>
      </c>
      <c r="AH11" s="63">
        <f t="shared" si="10"/>
        <v>34312</v>
      </c>
      <c r="AI11" s="63"/>
      <c r="AJ11" s="63"/>
      <c r="AK11" s="63">
        <f t="shared" si="11"/>
        <v>0</v>
      </c>
      <c r="AL11" s="63">
        <v>80274</v>
      </c>
      <c r="AM11" s="63">
        <v>275806</v>
      </c>
      <c r="AN11" s="63">
        <f t="shared" si="12"/>
        <v>356080</v>
      </c>
      <c r="AO11" s="63"/>
      <c r="AP11" s="63"/>
      <c r="AQ11" s="63">
        <f t="shared" si="13"/>
        <v>0</v>
      </c>
      <c r="AR11" s="63"/>
      <c r="AS11" s="63"/>
      <c r="AT11" s="63">
        <f t="shared" si="14"/>
        <v>0</v>
      </c>
      <c r="AU11" s="63"/>
      <c r="AV11" s="63"/>
      <c r="AW11" s="63">
        <f t="shared" si="15"/>
        <v>0</v>
      </c>
      <c r="AX11" s="63">
        <v>2571</v>
      </c>
      <c r="AY11" s="63">
        <v>16153</v>
      </c>
      <c r="AZ11" s="63">
        <f t="shared" si="16"/>
        <v>18724</v>
      </c>
      <c r="BA11" s="63"/>
      <c r="BB11" s="63"/>
      <c r="BC11" s="63">
        <f t="shared" si="17"/>
        <v>0</v>
      </c>
      <c r="BD11" s="63"/>
      <c r="BE11" s="63"/>
      <c r="BF11" s="63">
        <f t="shared" si="18"/>
        <v>0</v>
      </c>
      <c r="BG11" s="63"/>
      <c r="BH11" s="63">
        <v>2882</v>
      </c>
      <c r="BI11" s="63">
        <f t="shared" si="19"/>
        <v>2882</v>
      </c>
      <c r="BJ11" s="63"/>
      <c r="BK11" s="63"/>
      <c r="BL11" s="63">
        <f t="shared" si="20"/>
        <v>0</v>
      </c>
      <c r="BM11" s="63"/>
      <c r="BN11" s="63"/>
      <c r="BO11" s="63">
        <f t="shared" si="21"/>
        <v>0</v>
      </c>
      <c r="BP11" s="63"/>
      <c r="BQ11" s="63"/>
      <c r="BR11" s="63">
        <v>13316</v>
      </c>
      <c r="BS11" s="63"/>
      <c r="BT11" s="63"/>
      <c r="BU11" s="63">
        <f t="shared" si="22"/>
        <v>0</v>
      </c>
      <c r="BV11" s="63"/>
      <c r="BW11" s="63"/>
      <c r="BX11" s="63">
        <f t="shared" si="23"/>
        <v>0</v>
      </c>
      <c r="BY11" s="63"/>
      <c r="BZ11" s="63"/>
      <c r="CA11" s="63">
        <f t="shared" si="1"/>
        <v>0</v>
      </c>
      <c r="CB11" s="63"/>
      <c r="CC11" s="63"/>
      <c r="CD11" s="63">
        <f t="shared" si="24"/>
        <v>0</v>
      </c>
      <c r="CE11" s="63"/>
      <c r="CF11" s="63"/>
      <c r="CG11" s="63">
        <f t="shared" si="25"/>
        <v>0</v>
      </c>
      <c r="CH11" s="63"/>
      <c r="CI11" s="63"/>
      <c r="CJ11" s="63">
        <f t="shared" si="26"/>
        <v>0</v>
      </c>
      <c r="CK11" s="63"/>
      <c r="CL11" s="63"/>
      <c r="CM11" s="63">
        <f t="shared" si="27"/>
        <v>0</v>
      </c>
      <c r="CN11" s="63"/>
      <c r="CO11" s="63"/>
      <c r="CP11" s="63">
        <f t="shared" si="28"/>
        <v>0</v>
      </c>
      <c r="CQ11" s="63"/>
      <c r="CR11" s="63"/>
      <c r="CS11" s="63">
        <f t="shared" si="29"/>
        <v>0</v>
      </c>
      <c r="CT11" s="63"/>
      <c r="CU11" s="63"/>
      <c r="CV11" s="63">
        <f t="shared" si="30"/>
        <v>0</v>
      </c>
    </row>
    <row r="12" spans="1:100" ht="15" customHeight="1" x14ac:dyDescent="0.25">
      <c r="A12" s="64" t="s">
        <v>198</v>
      </c>
      <c r="B12" s="63"/>
      <c r="C12" s="63"/>
      <c r="D12" s="63">
        <f t="shared" si="0"/>
        <v>0</v>
      </c>
      <c r="E12" s="63"/>
      <c r="F12" s="63"/>
      <c r="G12" s="63">
        <f t="shared" si="2"/>
        <v>0</v>
      </c>
      <c r="H12" s="63"/>
      <c r="I12" s="63"/>
      <c r="J12" s="63">
        <f t="shared" si="31"/>
        <v>0</v>
      </c>
      <c r="K12" s="63"/>
      <c r="L12" s="63"/>
      <c r="M12" s="63">
        <f t="shared" si="3"/>
        <v>0</v>
      </c>
      <c r="N12" s="63"/>
      <c r="O12" s="63"/>
      <c r="P12" s="63">
        <f t="shared" si="4"/>
        <v>0</v>
      </c>
      <c r="Q12" s="63"/>
      <c r="R12" s="63"/>
      <c r="S12" s="63">
        <f t="shared" si="5"/>
        <v>0</v>
      </c>
      <c r="T12" s="63"/>
      <c r="U12" s="63"/>
      <c r="V12" s="63">
        <f t="shared" si="6"/>
        <v>0</v>
      </c>
      <c r="W12" s="63"/>
      <c r="X12" s="63"/>
      <c r="Y12" s="63">
        <f t="shared" si="7"/>
        <v>0</v>
      </c>
      <c r="Z12" s="63"/>
      <c r="AA12" s="63"/>
      <c r="AB12" s="63">
        <f t="shared" si="8"/>
        <v>0</v>
      </c>
      <c r="AC12" s="63"/>
      <c r="AD12" s="63"/>
      <c r="AE12" s="63">
        <f t="shared" si="9"/>
        <v>0</v>
      </c>
      <c r="AF12" s="63"/>
      <c r="AG12" s="63"/>
      <c r="AH12" s="63">
        <f t="shared" si="10"/>
        <v>0</v>
      </c>
      <c r="AI12" s="63"/>
      <c r="AJ12" s="63"/>
      <c r="AK12" s="63">
        <f t="shared" si="11"/>
        <v>0</v>
      </c>
      <c r="AL12" s="63"/>
      <c r="AM12" s="63"/>
      <c r="AN12" s="63">
        <f t="shared" si="12"/>
        <v>0</v>
      </c>
      <c r="AO12" s="63"/>
      <c r="AP12" s="63"/>
      <c r="AQ12" s="63">
        <f t="shared" si="13"/>
        <v>0</v>
      </c>
      <c r="AR12" s="63"/>
      <c r="AS12" s="63"/>
      <c r="AT12" s="63">
        <f t="shared" si="14"/>
        <v>0</v>
      </c>
      <c r="AU12" s="63"/>
      <c r="AV12" s="63"/>
      <c r="AW12" s="63">
        <f t="shared" si="15"/>
        <v>0</v>
      </c>
      <c r="AX12" s="63"/>
      <c r="AY12" s="63"/>
      <c r="AZ12" s="63">
        <f t="shared" si="16"/>
        <v>0</v>
      </c>
      <c r="BA12" s="63"/>
      <c r="BB12" s="63"/>
      <c r="BC12" s="63">
        <f t="shared" si="17"/>
        <v>0</v>
      </c>
      <c r="BD12" s="63"/>
      <c r="BE12" s="63"/>
      <c r="BF12" s="63">
        <f t="shared" si="18"/>
        <v>0</v>
      </c>
      <c r="BG12" s="63"/>
      <c r="BH12" s="63">
        <v>413937</v>
      </c>
      <c r="BI12" s="63">
        <f t="shared" si="19"/>
        <v>413937</v>
      </c>
      <c r="BJ12" s="63"/>
      <c r="BK12" s="63"/>
      <c r="BL12" s="63">
        <f t="shared" si="20"/>
        <v>0</v>
      </c>
      <c r="BM12" s="63">
        <v>159816</v>
      </c>
      <c r="BN12" s="63">
        <v>374408</v>
      </c>
      <c r="BO12" s="63">
        <f t="shared" si="21"/>
        <v>534224</v>
      </c>
      <c r="BP12" s="63"/>
      <c r="BQ12" s="63"/>
      <c r="BR12" s="63">
        <v>642511</v>
      </c>
      <c r="BS12" s="63"/>
      <c r="BT12" s="63"/>
      <c r="BU12" s="63">
        <f t="shared" si="22"/>
        <v>0</v>
      </c>
      <c r="BV12" s="63"/>
      <c r="BW12" s="63"/>
      <c r="BX12" s="63">
        <f t="shared" si="23"/>
        <v>0</v>
      </c>
      <c r="BY12" s="63"/>
      <c r="BZ12" s="63"/>
      <c r="CA12" s="63">
        <f t="shared" si="1"/>
        <v>0</v>
      </c>
      <c r="CB12" s="63"/>
      <c r="CC12" s="63"/>
      <c r="CD12" s="63">
        <f t="shared" si="24"/>
        <v>0</v>
      </c>
      <c r="CE12" s="63"/>
      <c r="CF12" s="63"/>
      <c r="CG12" s="63">
        <f t="shared" si="25"/>
        <v>0</v>
      </c>
      <c r="CH12" s="63"/>
      <c r="CI12" s="63"/>
      <c r="CJ12" s="63">
        <f t="shared" si="26"/>
        <v>0</v>
      </c>
      <c r="CK12" s="63"/>
      <c r="CL12" s="63"/>
      <c r="CM12" s="63">
        <f t="shared" si="27"/>
        <v>0</v>
      </c>
      <c r="CN12" s="63"/>
      <c r="CO12" s="63"/>
      <c r="CP12" s="63">
        <f t="shared" si="28"/>
        <v>0</v>
      </c>
      <c r="CQ12" s="63"/>
      <c r="CR12" s="63"/>
      <c r="CS12" s="63">
        <f t="shared" si="29"/>
        <v>0</v>
      </c>
      <c r="CT12" s="63"/>
      <c r="CU12" s="63"/>
      <c r="CV12" s="63">
        <f t="shared" si="30"/>
        <v>0</v>
      </c>
    </row>
    <row r="13" spans="1:100" ht="15" customHeight="1" x14ac:dyDescent="0.25">
      <c r="A13" s="64" t="s">
        <v>199</v>
      </c>
      <c r="B13" s="63">
        <v>111743</v>
      </c>
      <c r="C13" s="63">
        <v>165225</v>
      </c>
      <c r="D13" s="63">
        <f t="shared" si="0"/>
        <v>276968</v>
      </c>
      <c r="E13" s="63">
        <v>102675</v>
      </c>
      <c r="F13" s="63">
        <v>952413</v>
      </c>
      <c r="G13" s="63">
        <f t="shared" si="2"/>
        <v>1055088</v>
      </c>
      <c r="H13" s="63"/>
      <c r="I13" s="63"/>
      <c r="J13" s="63">
        <v>7172640</v>
      </c>
      <c r="K13" s="63">
        <v>1858980</v>
      </c>
      <c r="L13" s="63">
        <v>21654419</v>
      </c>
      <c r="M13" s="63">
        <f t="shared" si="3"/>
        <v>23513399</v>
      </c>
      <c r="N13" s="63">
        <v>837301</v>
      </c>
      <c r="O13" s="63">
        <v>4610333</v>
      </c>
      <c r="P13" s="63">
        <f t="shared" si="4"/>
        <v>5447634</v>
      </c>
      <c r="Q13" s="63">
        <v>840926</v>
      </c>
      <c r="R13" s="63">
        <v>7579869</v>
      </c>
      <c r="S13" s="63">
        <f t="shared" si="5"/>
        <v>8420795</v>
      </c>
      <c r="T13" s="63">
        <v>101779</v>
      </c>
      <c r="U13" s="63">
        <v>299460</v>
      </c>
      <c r="V13" s="63">
        <f t="shared" si="6"/>
        <v>401239</v>
      </c>
      <c r="W13" s="63">
        <f>4370463.59+2806825.2</f>
        <v>7177288.79</v>
      </c>
      <c r="X13" s="63">
        <f>5793405.23+3720675.27</f>
        <v>9514080.5</v>
      </c>
      <c r="Y13" s="63">
        <f t="shared" si="7"/>
        <v>16691369.289999999</v>
      </c>
      <c r="Z13" s="63">
        <v>1788404</v>
      </c>
      <c r="AA13" s="63">
        <v>7075300</v>
      </c>
      <c r="AB13" s="63">
        <f t="shared" si="8"/>
        <v>8863704</v>
      </c>
      <c r="AC13" s="63"/>
      <c r="AD13" s="63">
        <v>2801117</v>
      </c>
      <c r="AE13" s="63">
        <f t="shared" si="9"/>
        <v>2801117</v>
      </c>
      <c r="AF13" s="63">
        <v>2964397</v>
      </c>
      <c r="AG13" s="63">
        <v>14095277</v>
      </c>
      <c r="AH13" s="63">
        <f t="shared" si="10"/>
        <v>17059674</v>
      </c>
      <c r="AI13" s="63">
        <v>959009</v>
      </c>
      <c r="AJ13" s="63">
        <v>2877026</v>
      </c>
      <c r="AK13" s="63">
        <f t="shared" si="11"/>
        <v>3836035</v>
      </c>
      <c r="AL13" s="63">
        <v>11670146</v>
      </c>
      <c r="AM13" s="63">
        <v>40096258</v>
      </c>
      <c r="AN13" s="63">
        <f t="shared" si="12"/>
        <v>51766404</v>
      </c>
      <c r="AO13" s="63">
        <v>2513142</v>
      </c>
      <c r="AP13" s="63">
        <v>9082985</v>
      </c>
      <c r="AQ13" s="63">
        <f t="shared" si="13"/>
        <v>11596127</v>
      </c>
      <c r="AR13" s="63">
        <v>278706</v>
      </c>
      <c r="AS13" s="63">
        <v>885070</v>
      </c>
      <c r="AT13" s="63">
        <f t="shared" si="14"/>
        <v>1163776</v>
      </c>
      <c r="AU13" s="63">
        <v>2019850</v>
      </c>
      <c r="AV13" s="63">
        <v>5490448</v>
      </c>
      <c r="AW13" s="63">
        <f t="shared" si="15"/>
        <v>7510298</v>
      </c>
      <c r="AX13" s="63">
        <v>543269</v>
      </c>
      <c r="AY13" s="63">
        <v>3413734</v>
      </c>
      <c r="AZ13" s="63">
        <f t="shared" si="16"/>
        <v>3957003</v>
      </c>
      <c r="BA13" s="63">
        <v>200605</v>
      </c>
      <c r="BB13" s="63">
        <v>817762</v>
      </c>
      <c r="BC13" s="63">
        <f t="shared" si="17"/>
        <v>1018367</v>
      </c>
      <c r="BD13" s="63">
        <v>601918</v>
      </c>
      <c r="BE13" s="63">
        <v>1913691</v>
      </c>
      <c r="BF13" s="63">
        <f t="shared" si="18"/>
        <v>2515609</v>
      </c>
      <c r="BG13" s="63"/>
      <c r="BH13" s="63">
        <v>25453756</v>
      </c>
      <c r="BI13" s="63">
        <f t="shared" si="19"/>
        <v>25453756</v>
      </c>
      <c r="BJ13" s="63">
        <v>607852</v>
      </c>
      <c r="BK13" s="63">
        <v>401894</v>
      </c>
      <c r="BL13" s="63">
        <f t="shared" si="20"/>
        <v>1009746</v>
      </c>
      <c r="BM13" s="63">
        <v>7827905</v>
      </c>
      <c r="BN13" s="63">
        <v>18252313</v>
      </c>
      <c r="BO13" s="63">
        <f t="shared" si="21"/>
        <v>26080218</v>
      </c>
      <c r="BP13" s="63"/>
      <c r="BQ13" s="63"/>
      <c r="BR13" s="63">
        <v>8492941</v>
      </c>
      <c r="BS13" s="63">
        <v>248239</v>
      </c>
      <c r="BT13" s="63">
        <v>760953</v>
      </c>
      <c r="BU13" s="63">
        <f t="shared" si="22"/>
        <v>1009192</v>
      </c>
      <c r="BV13" s="63">
        <v>5990938</v>
      </c>
      <c r="BW13" s="63">
        <v>35765719</v>
      </c>
      <c r="BX13" s="63">
        <f t="shared" si="23"/>
        <v>41756657</v>
      </c>
      <c r="BY13" s="63">
        <v>1596245</v>
      </c>
      <c r="BZ13" s="63">
        <v>2301408</v>
      </c>
      <c r="CA13" s="63">
        <f t="shared" si="1"/>
        <v>3897653</v>
      </c>
      <c r="CB13" s="63">
        <v>2659112</v>
      </c>
      <c r="CC13" s="63">
        <v>11363687</v>
      </c>
      <c r="CD13" s="63">
        <f t="shared" si="24"/>
        <v>14022799</v>
      </c>
      <c r="CE13" s="63">
        <v>2193188</v>
      </c>
      <c r="CF13" s="63">
        <v>8409155</v>
      </c>
      <c r="CG13" s="63">
        <f t="shared" si="25"/>
        <v>10602343</v>
      </c>
      <c r="CH13" s="63">
        <v>282327</v>
      </c>
      <c r="CI13" s="63">
        <v>3317078</v>
      </c>
      <c r="CJ13" s="63">
        <f t="shared" si="26"/>
        <v>3599405</v>
      </c>
      <c r="CK13" s="63"/>
      <c r="CL13" s="63"/>
      <c r="CM13" s="63">
        <f t="shared" si="27"/>
        <v>0</v>
      </c>
      <c r="CN13" s="63">
        <v>7841220</v>
      </c>
      <c r="CO13" s="63">
        <v>31228793</v>
      </c>
      <c r="CP13" s="63">
        <f t="shared" si="28"/>
        <v>39070013</v>
      </c>
      <c r="CQ13" s="63"/>
      <c r="CR13" s="63"/>
      <c r="CS13" s="63">
        <v>18480775</v>
      </c>
      <c r="CT13" s="63">
        <v>1657350</v>
      </c>
      <c r="CU13" s="63">
        <v>4493817</v>
      </c>
      <c r="CV13" s="63">
        <f t="shared" si="30"/>
        <v>6151167</v>
      </c>
    </row>
    <row r="14" spans="1:100" ht="15" customHeight="1" x14ac:dyDescent="0.25">
      <c r="A14" s="64" t="s">
        <v>200</v>
      </c>
      <c r="B14" s="63"/>
      <c r="C14" s="63"/>
      <c r="D14" s="63">
        <f t="shared" si="0"/>
        <v>0</v>
      </c>
      <c r="E14" s="63"/>
      <c r="F14" s="63"/>
      <c r="G14" s="63">
        <f t="shared" si="2"/>
        <v>0</v>
      </c>
      <c r="H14" s="63"/>
      <c r="I14" s="63"/>
      <c r="J14" s="63">
        <f t="shared" si="31"/>
        <v>0</v>
      </c>
      <c r="K14" s="63"/>
      <c r="L14" s="63"/>
      <c r="M14" s="63">
        <f t="shared" si="3"/>
        <v>0</v>
      </c>
      <c r="N14" s="63"/>
      <c r="O14" s="63"/>
      <c r="P14" s="63">
        <f t="shared" si="4"/>
        <v>0</v>
      </c>
      <c r="Q14" s="63">
        <v>7789</v>
      </c>
      <c r="R14" s="63">
        <v>70211</v>
      </c>
      <c r="S14" s="63">
        <f t="shared" si="5"/>
        <v>78000</v>
      </c>
      <c r="T14" s="63"/>
      <c r="U14" s="63"/>
      <c r="V14" s="63">
        <f t="shared" si="6"/>
        <v>0</v>
      </c>
      <c r="W14" s="63"/>
      <c r="X14" s="63"/>
      <c r="Y14" s="63">
        <f t="shared" si="7"/>
        <v>0</v>
      </c>
      <c r="Z14" s="63"/>
      <c r="AA14" s="63"/>
      <c r="AB14" s="63">
        <f t="shared" si="8"/>
        <v>0</v>
      </c>
      <c r="AC14" s="63"/>
      <c r="AD14" s="63"/>
      <c r="AE14" s="63">
        <f t="shared" si="9"/>
        <v>0</v>
      </c>
      <c r="AF14" s="63">
        <v>26777</v>
      </c>
      <c r="AG14" s="63">
        <v>127323</v>
      </c>
      <c r="AH14" s="63">
        <f t="shared" si="10"/>
        <v>154100</v>
      </c>
      <c r="AI14" s="63"/>
      <c r="AJ14" s="63"/>
      <c r="AK14" s="63">
        <f t="shared" si="11"/>
        <v>0</v>
      </c>
      <c r="AL14" s="63">
        <v>3611948</v>
      </c>
      <c r="AM14" s="63">
        <v>11628278</v>
      </c>
      <c r="AN14" s="63">
        <f t="shared" si="12"/>
        <v>15240226</v>
      </c>
      <c r="AO14" s="63"/>
      <c r="AP14" s="63"/>
      <c r="AQ14" s="63">
        <f t="shared" si="13"/>
        <v>0</v>
      </c>
      <c r="AR14" s="63"/>
      <c r="AS14" s="63"/>
      <c r="AT14" s="63">
        <f>AS14+AR14</f>
        <v>0</v>
      </c>
      <c r="AU14" s="63"/>
      <c r="AV14" s="63"/>
      <c r="AW14" s="63">
        <f t="shared" si="15"/>
        <v>0</v>
      </c>
      <c r="AX14" s="63"/>
      <c r="AY14" s="63"/>
      <c r="AZ14" s="63">
        <f t="shared" si="16"/>
        <v>0</v>
      </c>
      <c r="BA14" s="63"/>
      <c r="BB14" s="63"/>
      <c r="BC14" s="63">
        <f t="shared" si="17"/>
        <v>0</v>
      </c>
      <c r="BD14" s="63"/>
      <c r="BE14" s="63">
        <v>100000</v>
      </c>
      <c r="BF14" s="63">
        <f t="shared" si="18"/>
        <v>100000</v>
      </c>
      <c r="BG14" s="63"/>
      <c r="BH14" s="63"/>
      <c r="BI14" s="63">
        <f t="shared" si="19"/>
        <v>0</v>
      </c>
      <c r="BJ14" s="63"/>
      <c r="BK14" s="63"/>
      <c r="BL14" s="63">
        <f t="shared" si="20"/>
        <v>0</v>
      </c>
      <c r="BM14" s="63"/>
      <c r="BN14" s="63"/>
      <c r="BO14" s="63">
        <f t="shared" si="21"/>
        <v>0</v>
      </c>
      <c r="BP14" s="63"/>
      <c r="BQ14" s="63"/>
      <c r="BR14" s="63">
        <f>156973+401423</f>
        <v>558396</v>
      </c>
      <c r="BS14" s="63"/>
      <c r="BT14" s="63"/>
      <c r="BU14" s="63">
        <f t="shared" si="22"/>
        <v>0</v>
      </c>
      <c r="BV14" s="63"/>
      <c r="BW14" s="63"/>
      <c r="BX14" s="63">
        <f t="shared" si="23"/>
        <v>0</v>
      </c>
      <c r="BY14" s="63"/>
      <c r="BZ14" s="63"/>
      <c r="CA14" s="63">
        <f t="shared" si="1"/>
        <v>0</v>
      </c>
      <c r="CB14" s="63"/>
      <c r="CC14" s="63"/>
      <c r="CD14" s="63">
        <f t="shared" si="24"/>
        <v>0</v>
      </c>
      <c r="CE14" s="63">
        <f>19900+259854+112841</f>
        <v>392595</v>
      </c>
      <c r="CF14" s="63"/>
      <c r="CG14" s="63">
        <f t="shared" si="25"/>
        <v>392595</v>
      </c>
      <c r="CH14" s="63"/>
      <c r="CI14" s="63"/>
      <c r="CJ14" s="63">
        <f t="shared" si="26"/>
        <v>0</v>
      </c>
      <c r="CK14" s="63"/>
      <c r="CL14" s="63"/>
      <c r="CM14" s="63">
        <f t="shared" si="27"/>
        <v>0</v>
      </c>
      <c r="CN14" s="63"/>
      <c r="CO14" s="63"/>
      <c r="CP14" s="63">
        <f t="shared" si="28"/>
        <v>0</v>
      </c>
      <c r="CQ14" s="63"/>
      <c r="CR14" s="63"/>
      <c r="CS14" s="63">
        <f t="shared" si="29"/>
        <v>0</v>
      </c>
      <c r="CT14" s="63"/>
      <c r="CU14" s="63"/>
      <c r="CV14" s="63">
        <f t="shared" si="30"/>
        <v>0</v>
      </c>
    </row>
    <row r="15" spans="1:100" ht="15" customHeight="1" x14ac:dyDescent="0.25">
      <c r="A15" s="64" t="s">
        <v>201</v>
      </c>
      <c r="B15" s="63"/>
      <c r="C15" s="63"/>
      <c r="D15" s="63">
        <f t="shared" si="0"/>
        <v>0</v>
      </c>
      <c r="E15" s="63"/>
      <c r="F15" s="63"/>
      <c r="G15" s="63">
        <f t="shared" si="2"/>
        <v>0</v>
      </c>
      <c r="H15" s="63"/>
      <c r="I15" s="63"/>
      <c r="J15" s="63">
        <f t="shared" si="31"/>
        <v>0</v>
      </c>
      <c r="K15" s="63"/>
      <c r="L15" s="63"/>
      <c r="M15" s="63">
        <f t="shared" si="3"/>
        <v>0</v>
      </c>
      <c r="N15" s="63"/>
      <c r="O15" s="63"/>
      <c r="P15" s="63">
        <f t="shared" si="4"/>
        <v>0</v>
      </c>
      <c r="Q15" s="63"/>
      <c r="R15" s="63"/>
      <c r="S15" s="63">
        <f t="shared" si="5"/>
        <v>0</v>
      </c>
      <c r="T15" s="63"/>
      <c r="U15" s="63"/>
      <c r="V15" s="63">
        <f t="shared" si="6"/>
        <v>0</v>
      </c>
      <c r="W15" s="63"/>
      <c r="X15" s="63"/>
      <c r="Y15" s="63">
        <f t="shared" si="7"/>
        <v>0</v>
      </c>
      <c r="Z15" s="63"/>
      <c r="AA15" s="63"/>
      <c r="AB15" s="63">
        <f t="shared" si="8"/>
        <v>0</v>
      </c>
      <c r="AC15" s="63"/>
      <c r="AD15" s="63"/>
      <c r="AE15" s="63">
        <f t="shared" si="9"/>
        <v>0</v>
      </c>
      <c r="AF15" s="63"/>
      <c r="AG15" s="63"/>
      <c r="AH15" s="63">
        <f t="shared" si="10"/>
        <v>0</v>
      </c>
      <c r="AI15" s="63"/>
      <c r="AJ15" s="63"/>
      <c r="AK15" s="63">
        <f t="shared" si="11"/>
        <v>0</v>
      </c>
      <c r="AL15" s="63"/>
      <c r="AM15" s="63"/>
      <c r="AN15" s="63">
        <f t="shared" si="12"/>
        <v>0</v>
      </c>
      <c r="AO15" s="63">
        <v>412807</v>
      </c>
      <c r="AP15" s="63">
        <v>1491963</v>
      </c>
      <c r="AQ15" s="63">
        <f t="shared" si="13"/>
        <v>1904770</v>
      </c>
      <c r="AR15" s="63"/>
      <c r="AS15" s="63"/>
      <c r="AT15" s="63">
        <f t="shared" si="14"/>
        <v>0</v>
      </c>
      <c r="AU15" s="63"/>
      <c r="AV15" s="63"/>
      <c r="AW15" s="63">
        <f t="shared" si="15"/>
        <v>0</v>
      </c>
      <c r="AX15" s="63"/>
      <c r="AY15" s="63"/>
      <c r="AZ15" s="63">
        <f t="shared" si="16"/>
        <v>0</v>
      </c>
      <c r="BA15" s="63"/>
      <c r="BB15" s="63"/>
      <c r="BC15" s="63">
        <f t="shared" si="17"/>
        <v>0</v>
      </c>
      <c r="BD15" s="63"/>
      <c r="BE15" s="63"/>
      <c r="BF15" s="63">
        <f t="shared" si="18"/>
        <v>0</v>
      </c>
      <c r="BG15" s="63"/>
      <c r="BH15" s="63"/>
      <c r="BI15" s="63">
        <f t="shared" si="19"/>
        <v>0</v>
      </c>
      <c r="BJ15" s="63"/>
      <c r="BK15" s="63"/>
      <c r="BL15" s="63">
        <f t="shared" si="20"/>
        <v>0</v>
      </c>
      <c r="BM15" s="63"/>
      <c r="BN15" s="63"/>
      <c r="BO15" s="63">
        <f t="shared" si="21"/>
        <v>0</v>
      </c>
      <c r="BP15" s="63"/>
      <c r="BQ15" s="63"/>
      <c r="BR15" s="63">
        <f t="shared" si="32"/>
        <v>0</v>
      </c>
      <c r="BS15" s="63"/>
      <c r="BT15" s="63"/>
      <c r="BU15" s="63">
        <f t="shared" si="22"/>
        <v>0</v>
      </c>
      <c r="BV15" s="63"/>
      <c r="BW15" s="63"/>
      <c r="BX15" s="63">
        <f t="shared" si="23"/>
        <v>0</v>
      </c>
      <c r="BY15" s="63"/>
      <c r="BZ15" s="63"/>
      <c r="CA15" s="63">
        <f t="shared" si="1"/>
        <v>0</v>
      </c>
      <c r="CB15" s="63"/>
      <c r="CC15" s="63"/>
      <c r="CD15" s="63">
        <f t="shared" si="24"/>
        <v>0</v>
      </c>
      <c r="CE15" s="63"/>
      <c r="CF15" s="63"/>
      <c r="CG15" s="63">
        <f t="shared" si="25"/>
        <v>0</v>
      </c>
      <c r="CH15" s="63"/>
      <c r="CI15" s="63"/>
      <c r="CJ15" s="63">
        <f t="shared" si="26"/>
        <v>0</v>
      </c>
      <c r="CK15" s="63"/>
      <c r="CL15" s="63"/>
      <c r="CM15" s="63">
        <f t="shared" si="27"/>
        <v>0</v>
      </c>
      <c r="CN15" s="63"/>
      <c r="CO15" s="63"/>
      <c r="CP15" s="63">
        <f t="shared" si="28"/>
        <v>0</v>
      </c>
      <c r="CQ15" s="63"/>
      <c r="CR15" s="63"/>
      <c r="CS15" s="63">
        <f t="shared" si="29"/>
        <v>0</v>
      </c>
      <c r="CT15" s="63"/>
      <c r="CU15" s="63"/>
      <c r="CV15" s="63">
        <f t="shared" si="30"/>
        <v>0</v>
      </c>
    </row>
    <row r="16" spans="1:100" ht="15" customHeight="1" x14ac:dyDescent="0.25">
      <c r="A16" s="64" t="s">
        <v>202</v>
      </c>
      <c r="B16" s="63"/>
      <c r="C16" s="63"/>
      <c r="D16" s="63">
        <f t="shared" si="0"/>
        <v>0</v>
      </c>
      <c r="E16" s="63"/>
      <c r="F16" s="63"/>
      <c r="G16" s="63">
        <f t="shared" si="2"/>
        <v>0</v>
      </c>
      <c r="H16" s="63"/>
      <c r="I16" s="63"/>
      <c r="J16" s="63">
        <f t="shared" si="31"/>
        <v>0</v>
      </c>
      <c r="K16" s="63"/>
      <c r="L16" s="63"/>
      <c r="M16" s="63">
        <f t="shared" si="3"/>
        <v>0</v>
      </c>
      <c r="N16" s="63"/>
      <c r="O16" s="63"/>
      <c r="P16" s="63">
        <f t="shared" si="4"/>
        <v>0</v>
      </c>
      <c r="Q16" s="63"/>
      <c r="R16" s="63"/>
      <c r="S16" s="63">
        <f t="shared" si="5"/>
        <v>0</v>
      </c>
      <c r="T16" s="63"/>
      <c r="U16" s="63"/>
      <c r="V16" s="63">
        <f t="shared" si="6"/>
        <v>0</v>
      </c>
      <c r="W16" s="63"/>
      <c r="X16" s="63"/>
      <c r="Y16" s="63">
        <f t="shared" si="7"/>
        <v>0</v>
      </c>
      <c r="Z16" s="63"/>
      <c r="AA16" s="63"/>
      <c r="AB16" s="63">
        <f t="shared" si="8"/>
        <v>0</v>
      </c>
      <c r="AC16" s="63"/>
      <c r="AD16" s="63"/>
      <c r="AE16" s="63">
        <f t="shared" si="9"/>
        <v>0</v>
      </c>
      <c r="AF16" s="63"/>
      <c r="AG16" s="63"/>
      <c r="AH16" s="63">
        <f t="shared" si="10"/>
        <v>0</v>
      </c>
      <c r="AI16" s="63"/>
      <c r="AJ16" s="63"/>
      <c r="AK16" s="63">
        <f t="shared" si="11"/>
        <v>0</v>
      </c>
      <c r="AL16" s="63"/>
      <c r="AM16" s="63"/>
      <c r="AN16" s="63">
        <f t="shared" si="12"/>
        <v>0</v>
      </c>
      <c r="AO16" s="63">
        <v>1084</v>
      </c>
      <c r="AP16" s="63">
        <v>3916</v>
      </c>
      <c r="AQ16" s="63">
        <f t="shared" si="13"/>
        <v>5000</v>
      </c>
      <c r="AR16" s="63"/>
      <c r="AS16" s="63"/>
      <c r="AT16" s="63">
        <f t="shared" si="14"/>
        <v>0</v>
      </c>
      <c r="AU16" s="63"/>
      <c r="AV16" s="63"/>
      <c r="AW16" s="63">
        <f t="shared" si="15"/>
        <v>0</v>
      </c>
      <c r="AX16" s="63"/>
      <c r="AY16" s="63"/>
      <c r="AZ16" s="63">
        <f t="shared" si="16"/>
        <v>0</v>
      </c>
      <c r="BA16" s="63"/>
      <c r="BB16" s="63"/>
      <c r="BC16" s="63">
        <f t="shared" si="17"/>
        <v>0</v>
      </c>
      <c r="BD16" s="63"/>
      <c r="BE16" s="63"/>
      <c r="BF16" s="63">
        <f t="shared" si="18"/>
        <v>0</v>
      </c>
      <c r="BG16" s="63"/>
      <c r="BH16" s="63"/>
      <c r="BI16" s="63">
        <f t="shared" si="19"/>
        <v>0</v>
      </c>
      <c r="BJ16" s="63"/>
      <c r="BK16" s="63"/>
      <c r="BL16" s="63">
        <f t="shared" si="20"/>
        <v>0</v>
      </c>
      <c r="BM16" s="63">
        <v>459743</v>
      </c>
      <c r="BN16" s="63"/>
      <c r="BO16" s="63">
        <f t="shared" si="21"/>
        <v>459743</v>
      </c>
      <c r="BP16" s="63"/>
      <c r="BQ16" s="63"/>
      <c r="BR16" s="63">
        <v>500</v>
      </c>
      <c r="BS16" s="63"/>
      <c r="BT16" s="63"/>
      <c r="BU16" s="63">
        <f t="shared" si="22"/>
        <v>0</v>
      </c>
      <c r="BV16" s="63"/>
      <c r="BW16" s="63"/>
      <c r="BX16" s="63">
        <f t="shared" si="23"/>
        <v>0</v>
      </c>
      <c r="BY16" s="63"/>
      <c r="BZ16" s="63"/>
      <c r="CA16" s="63">
        <f t="shared" si="1"/>
        <v>0</v>
      </c>
      <c r="CB16" s="63"/>
      <c r="CC16" s="63"/>
      <c r="CD16" s="63">
        <f t="shared" si="24"/>
        <v>0</v>
      </c>
      <c r="CE16" s="63"/>
      <c r="CF16" s="63"/>
      <c r="CG16" s="63">
        <f t="shared" si="25"/>
        <v>0</v>
      </c>
      <c r="CH16" s="63">
        <v>731641</v>
      </c>
      <c r="CI16" s="63"/>
      <c r="CJ16" s="63">
        <f t="shared" si="26"/>
        <v>731641</v>
      </c>
      <c r="CK16" s="63"/>
      <c r="CL16" s="63"/>
      <c r="CM16" s="63">
        <f t="shared" si="27"/>
        <v>0</v>
      </c>
      <c r="CN16" s="63"/>
      <c r="CO16" s="63"/>
      <c r="CP16" s="63">
        <f t="shared" si="28"/>
        <v>0</v>
      </c>
      <c r="CQ16" s="63"/>
      <c r="CR16" s="63"/>
      <c r="CS16" s="63">
        <f t="shared" si="29"/>
        <v>0</v>
      </c>
      <c r="CT16" s="63"/>
      <c r="CU16" s="63"/>
      <c r="CV16" s="63">
        <f t="shared" si="30"/>
        <v>0</v>
      </c>
    </row>
    <row r="17" spans="1:100" ht="15" customHeight="1" x14ac:dyDescent="0.25">
      <c r="A17" s="64" t="s">
        <v>203</v>
      </c>
      <c r="B17" s="63"/>
      <c r="C17" s="63"/>
      <c r="D17" s="63">
        <f t="shared" si="0"/>
        <v>0</v>
      </c>
      <c r="E17" s="63"/>
      <c r="F17" s="63"/>
      <c r="G17" s="63">
        <f t="shared" si="2"/>
        <v>0</v>
      </c>
      <c r="H17" s="63"/>
      <c r="I17" s="63"/>
      <c r="J17" s="63">
        <f t="shared" si="31"/>
        <v>0</v>
      </c>
      <c r="K17" s="63"/>
      <c r="L17" s="63"/>
      <c r="M17" s="63">
        <f t="shared" si="3"/>
        <v>0</v>
      </c>
      <c r="N17" s="63">
        <v>115415</v>
      </c>
      <c r="O17" s="63">
        <v>635498</v>
      </c>
      <c r="P17" s="63">
        <f t="shared" si="4"/>
        <v>750913</v>
      </c>
      <c r="Q17" s="63">
        <v>28786</v>
      </c>
      <c r="R17" s="63">
        <v>259465</v>
      </c>
      <c r="S17" s="63">
        <f t="shared" si="5"/>
        <v>288251</v>
      </c>
      <c r="T17" s="63"/>
      <c r="U17" s="63"/>
      <c r="V17" s="63">
        <f t="shared" si="6"/>
        <v>0</v>
      </c>
      <c r="W17" s="63"/>
      <c r="X17" s="63"/>
      <c r="Y17" s="63">
        <f t="shared" si="7"/>
        <v>0</v>
      </c>
      <c r="Z17" s="63"/>
      <c r="AA17" s="63"/>
      <c r="AB17" s="63">
        <f t="shared" si="8"/>
        <v>0</v>
      </c>
      <c r="AC17" s="63">
        <v>249845</v>
      </c>
      <c r="AD17" s="63"/>
      <c r="AE17" s="63">
        <f t="shared" si="9"/>
        <v>249845</v>
      </c>
      <c r="AF17" s="63"/>
      <c r="AG17" s="63"/>
      <c r="AH17" s="63">
        <f t="shared" si="10"/>
        <v>0</v>
      </c>
      <c r="AI17" s="63"/>
      <c r="AJ17" s="63"/>
      <c r="AK17" s="63">
        <f t="shared" si="11"/>
        <v>0</v>
      </c>
      <c r="AL17" s="63">
        <v>238949</v>
      </c>
      <c r="AM17" s="63">
        <v>820981</v>
      </c>
      <c r="AN17" s="63">
        <f t="shared" si="12"/>
        <v>1059930</v>
      </c>
      <c r="AO17" s="63"/>
      <c r="AP17" s="63"/>
      <c r="AQ17" s="63">
        <f t="shared" si="13"/>
        <v>0</v>
      </c>
      <c r="AR17" s="63"/>
      <c r="AS17" s="63"/>
      <c r="AT17" s="63">
        <f t="shared" si="14"/>
        <v>0</v>
      </c>
      <c r="AU17" s="63"/>
      <c r="AV17" s="63"/>
      <c r="AW17" s="63">
        <f t="shared" si="15"/>
        <v>0</v>
      </c>
      <c r="AX17" s="63"/>
      <c r="AY17" s="63"/>
      <c r="AZ17" s="63">
        <f t="shared" si="16"/>
        <v>0</v>
      </c>
      <c r="BA17" s="63"/>
      <c r="BB17" s="63"/>
      <c r="BC17" s="63">
        <f t="shared" si="17"/>
        <v>0</v>
      </c>
      <c r="BD17" s="63"/>
      <c r="BE17" s="63"/>
      <c r="BF17" s="63">
        <f t="shared" si="18"/>
        <v>0</v>
      </c>
      <c r="BG17" s="63"/>
      <c r="BH17" s="63">
        <v>2477</v>
      </c>
      <c r="BI17" s="63">
        <f t="shared" si="19"/>
        <v>2477</v>
      </c>
      <c r="BJ17" s="63"/>
      <c r="BK17" s="63"/>
      <c r="BL17" s="63">
        <f t="shared" si="20"/>
        <v>0</v>
      </c>
      <c r="BM17" s="63"/>
      <c r="BN17" s="63"/>
      <c r="BO17" s="63">
        <f t="shared" si="21"/>
        <v>0</v>
      </c>
      <c r="BP17" s="63"/>
      <c r="BQ17" s="63"/>
      <c r="BR17" s="63">
        <f t="shared" si="32"/>
        <v>0</v>
      </c>
      <c r="BS17" s="63"/>
      <c r="BT17" s="63"/>
      <c r="BU17" s="63">
        <f t="shared" si="22"/>
        <v>0</v>
      </c>
      <c r="BV17" s="63"/>
      <c r="BW17" s="63"/>
      <c r="BX17" s="63">
        <f t="shared" si="23"/>
        <v>0</v>
      </c>
      <c r="BY17" s="63"/>
      <c r="BZ17" s="63"/>
      <c r="CA17" s="63">
        <f t="shared" si="1"/>
        <v>0</v>
      </c>
      <c r="CB17" s="63"/>
      <c r="CC17" s="63"/>
      <c r="CD17" s="63">
        <f t="shared" si="24"/>
        <v>0</v>
      </c>
      <c r="CE17" s="63"/>
      <c r="CF17" s="63"/>
      <c r="CG17" s="63">
        <f t="shared" si="25"/>
        <v>0</v>
      </c>
      <c r="CH17" s="63"/>
      <c r="CI17" s="63"/>
      <c r="CJ17" s="63">
        <f t="shared" si="26"/>
        <v>0</v>
      </c>
      <c r="CK17" s="63">
        <v>33362</v>
      </c>
      <c r="CL17" s="63">
        <v>46265</v>
      </c>
      <c r="CM17" s="63">
        <f t="shared" si="27"/>
        <v>79627</v>
      </c>
      <c r="CN17" s="63"/>
      <c r="CO17" s="63"/>
      <c r="CP17" s="63">
        <f t="shared" si="28"/>
        <v>0</v>
      </c>
      <c r="CQ17" s="63"/>
      <c r="CR17" s="63"/>
      <c r="CS17" s="63">
        <f t="shared" si="29"/>
        <v>0</v>
      </c>
      <c r="CT17" s="63"/>
      <c r="CU17" s="63"/>
      <c r="CV17" s="63">
        <f t="shared" si="30"/>
        <v>0</v>
      </c>
    </row>
    <row r="18" spans="1:100" ht="15" customHeight="1" x14ac:dyDescent="0.25">
      <c r="A18" s="64" t="s">
        <v>204</v>
      </c>
      <c r="B18" s="63">
        <v>732435</v>
      </c>
      <c r="C18" s="63">
        <v>1082985</v>
      </c>
      <c r="D18" s="63">
        <f t="shared" si="0"/>
        <v>1815420</v>
      </c>
      <c r="E18" s="63">
        <v>50430</v>
      </c>
      <c r="F18" s="63">
        <f>509871+405264</f>
        <v>915135</v>
      </c>
      <c r="G18" s="63">
        <f t="shared" si="2"/>
        <v>965565</v>
      </c>
      <c r="H18" s="63"/>
      <c r="I18" s="63"/>
      <c r="J18" s="63">
        <v>7120525</v>
      </c>
      <c r="K18" s="63">
        <v>8427496</v>
      </c>
      <c r="L18" s="63">
        <v>34011497</v>
      </c>
      <c r="M18" s="63">
        <f t="shared" si="3"/>
        <v>42438993</v>
      </c>
      <c r="N18" s="63">
        <v>2478285</v>
      </c>
      <c r="O18" s="63">
        <v>13645887</v>
      </c>
      <c r="P18" s="63">
        <f t="shared" si="4"/>
        <v>16124172</v>
      </c>
      <c r="Q18" s="63">
        <v>445445</v>
      </c>
      <c r="R18" s="63">
        <v>4015109</v>
      </c>
      <c r="S18" s="63">
        <f t="shared" si="5"/>
        <v>4460554</v>
      </c>
      <c r="T18" s="63">
        <v>246619</v>
      </c>
      <c r="U18" s="63">
        <v>402570</v>
      </c>
      <c r="V18" s="63">
        <f t="shared" si="6"/>
        <v>649189</v>
      </c>
      <c r="W18" s="63">
        <v>12645236.34</v>
      </c>
      <c r="X18" s="63">
        <v>16762290.029999999</v>
      </c>
      <c r="Y18" s="63">
        <f t="shared" si="7"/>
        <v>29407526.369999997</v>
      </c>
      <c r="Z18" s="63">
        <v>3347217</v>
      </c>
      <c r="AA18" s="63">
        <v>13242292</v>
      </c>
      <c r="AB18" s="63">
        <f t="shared" si="8"/>
        <v>16589509</v>
      </c>
      <c r="AC18" s="63">
        <v>2318226</v>
      </c>
      <c r="AD18" s="63">
        <v>5251525</v>
      </c>
      <c r="AE18" s="63">
        <f t="shared" si="9"/>
        <v>7569751</v>
      </c>
      <c r="AF18" s="63">
        <v>5897856</v>
      </c>
      <c r="AG18" s="63">
        <v>28043446</v>
      </c>
      <c r="AH18" s="63">
        <f t="shared" si="10"/>
        <v>33941302</v>
      </c>
      <c r="AI18" s="63">
        <v>1276564</v>
      </c>
      <c r="AJ18" s="63">
        <v>3829691</v>
      </c>
      <c r="AK18" s="63">
        <f t="shared" si="11"/>
        <v>5106255</v>
      </c>
      <c r="AL18" s="63">
        <v>15741115</v>
      </c>
      <c r="AM18" s="63">
        <v>54083288</v>
      </c>
      <c r="AN18" s="63">
        <f t="shared" si="12"/>
        <v>69824403</v>
      </c>
      <c r="AO18" s="63">
        <v>6797835</v>
      </c>
      <c r="AP18" s="63">
        <v>24568700</v>
      </c>
      <c r="AQ18" s="63">
        <f t="shared" si="13"/>
        <v>31366535</v>
      </c>
      <c r="AR18" s="63">
        <v>535376</v>
      </c>
      <c r="AS18" s="63">
        <v>1700159</v>
      </c>
      <c r="AT18" s="63">
        <f>AS18+AR18</f>
        <v>2235535</v>
      </c>
      <c r="AU18" s="63">
        <v>1502431</v>
      </c>
      <c r="AV18" s="63">
        <v>4083976</v>
      </c>
      <c r="AW18" s="63">
        <f t="shared" si="15"/>
        <v>5586407</v>
      </c>
      <c r="AX18" s="63">
        <v>1076182</v>
      </c>
      <c r="AY18" s="63">
        <v>6762394</v>
      </c>
      <c r="AZ18" s="63">
        <f t="shared" si="16"/>
        <v>7838576</v>
      </c>
      <c r="BA18" s="63">
        <v>753712</v>
      </c>
      <c r="BB18" s="63">
        <v>771027</v>
      </c>
      <c r="BC18" s="63">
        <f t="shared" si="17"/>
        <v>1524739</v>
      </c>
      <c r="BD18" s="63">
        <v>1459419</v>
      </c>
      <c r="BE18" s="63">
        <v>860176</v>
      </c>
      <c r="BF18" s="63">
        <f t="shared" si="18"/>
        <v>2319595</v>
      </c>
      <c r="BG18" s="63"/>
      <c r="BH18" s="63">
        <v>18737646</v>
      </c>
      <c r="BI18" s="63">
        <f t="shared" si="19"/>
        <v>18737646</v>
      </c>
      <c r="BJ18" s="63">
        <v>1585696</v>
      </c>
      <c r="BK18" s="63">
        <v>402072</v>
      </c>
      <c r="BL18" s="63">
        <f t="shared" si="20"/>
        <v>1987768</v>
      </c>
      <c r="BM18" s="63">
        <v>15793524</v>
      </c>
      <c r="BN18" s="63">
        <v>37000250</v>
      </c>
      <c r="BO18" s="63">
        <f t="shared" si="21"/>
        <v>52793774</v>
      </c>
      <c r="BP18" s="63"/>
      <c r="BQ18" s="63"/>
      <c r="BR18" s="63">
        <v>27133922</v>
      </c>
      <c r="BS18" s="63">
        <v>173766</v>
      </c>
      <c r="BT18" s="63">
        <v>532663</v>
      </c>
      <c r="BU18" s="63">
        <f t="shared" si="22"/>
        <v>706429</v>
      </c>
      <c r="BV18" s="63">
        <v>1888002</v>
      </c>
      <c r="BW18" s="63">
        <v>11271313</v>
      </c>
      <c r="BX18" s="63">
        <f t="shared" si="23"/>
        <v>13159315</v>
      </c>
      <c r="BY18" s="63">
        <v>3395609</v>
      </c>
      <c r="BZ18" s="63">
        <v>4827112</v>
      </c>
      <c r="CA18" s="63">
        <f t="shared" si="1"/>
        <v>8222721</v>
      </c>
      <c r="CB18" s="63">
        <v>2223281</v>
      </c>
      <c r="CC18" s="63">
        <v>9501170</v>
      </c>
      <c r="CD18" s="63">
        <f t="shared" si="24"/>
        <v>11724451</v>
      </c>
      <c r="CE18" s="63">
        <v>10487207</v>
      </c>
      <c r="CF18" s="63">
        <v>20571058</v>
      </c>
      <c r="CG18" s="63">
        <f t="shared" si="25"/>
        <v>31058265</v>
      </c>
      <c r="CH18" s="63">
        <v>6464021</v>
      </c>
      <c r="CI18" s="63">
        <v>36746194</v>
      </c>
      <c r="CJ18" s="63">
        <f t="shared" si="26"/>
        <v>43210215</v>
      </c>
      <c r="CK18" s="63">
        <v>6651920</v>
      </c>
      <c r="CL18" s="63">
        <v>9224778</v>
      </c>
      <c r="CM18" s="63">
        <f t="shared" si="27"/>
        <v>15876698</v>
      </c>
      <c r="CN18" s="63">
        <v>6481531</v>
      </c>
      <c r="CO18" s="63">
        <v>25813634</v>
      </c>
      <c r="CP18" s="63">
        <f t="shared" si="28"/>
        <v>32295165</v>
      </c>
      <c r="CQ18" s="63"/>
      <c r="CR18" s="63"/>
      <c r="CS18" s="99">
        <v>46997351</v>
      </c>
      <c r="CT18" s="63">
        <v>2060961</v>
      </c>
      <c r="CU18" s="63">
        <v>5588187</v>
      </c>
      <c r="CV18" s="63">
        <f t="shared" si="30"/>
        <v>7649148</v>
      </c>
    </row>
    <row r="19" spans="1:100" ht="15" customHeight="1" x14ac:dyDescent="0.25">
      <c r="A19" s="64" t="s">
        <v>205</v>
      </c>
      <c r="B19" s="63"/>
      <c r="C19" s="63"/>
      <c r="D19" s="63">
        <f t="shared" si="0"/>
        <v>0</v>
      </c>
      <c r="E19" s="63"/>
      <c r="F19" s="63">
        <v>349892</v>
      </c>
      <c r="G19" s="63">
        <f t="shared" si="2"/>
        <v>349892</v>
      </c>
      <c r="H19" s="63"/>
      <c r="I19" s="63"/>
      <c r="J19" s="63">
        <v>303777</v>
      </c>
      <c r="K19" s="63"/>
      <c r="L19" s="63"/>
      <c r="M19" s="63">
        <f t="shared" si="3"/>
        <v>0</v>
      </c>
      <c r="N19" s="63">
        <f>-69165+127190</f>
        <v>58025</v>
      </c>
      <c r="O19" s="63">
        <f>-380835+700332</f>
        <v>319497</v>
      </c>
      <c r="P19" s="63">
        <f t="shared" si="4"/>
        <v>377522</v>
      </c>
      <c r="Q19" s="63">
        <f>112815+3204+13293</f>
        <v>129312</v>
      </c>
      <c r="R19" s="63">
        <f>1016878+28876+119818</f>
        <v>1165572</v>
      </c>
      <c r="S19" s="63">
        <f t="shared" si="5"/>
        <v>1294884</v>
      </c>
      <c r="T19" s="63">
        <v>217509</v>
      </c>
      <c r="U19" s="63"/>
      <c r="V19" s="63">
        <f t="shared" si="6"/>
        <v>217509</v>
      </c>
      <c r="W19" s="63">
        <v>749745.13</v>
      </c>
      <c r="X19" s="63">
        <v>993848.2</v>
      </c>
      <c r="Y19" s="63">
        <f t="shared" si="7"/>
        <v>1743593.33</v>
      </c>
      <c r="Z19" s="63">
        <f>-35293+186615</f>
        <v>151322</v>
      </c>
      <c r="AA19" s="63">
        <f>-139626+738287</f>
        <v>598661</v>
      </c>
      <c r="AB19" s="63">
        <f t="shared" si="8"/>
        <v>749983</v>
      </c>
      <c r="AC19" s="63">
        <v>43596</v>
      </c>
      <c r="AD19" s="63"/>
      <c r="AE19" s="63">
        <f t="shared" si="9"/>
        <v>43596</v>
      </c>
      <c r="AF19" s="63">
        <f>35602+15808+17377</f>
        <v>68787</v>
      </c>
      <c r="AG19" s="63">
        <f>75166+82623+169279</f>
        <v>327068</v>
      </c>
      <c r="AH19" s="63">
        <f t="shared" si="10"/>
        <v>395855</v>
      </c>
      <c r="AI19" s="63">
        <v>17500</v>
      </c>
      <c r="AJ19" s="63">
        <v>52500</v>
      </c>
      <c r="AK19" s="63">
        <f t="shared" si="11"/>
        <v>70000</v>
      </c>
      <c r="AL19" s="63"/>
      <c r="AM19" s="63"/>
      <c r="AN19" s="63">
        <f t="shared" si="12"/>
        <v>0</v>
      </c>
      <c r="AO19" s="63">
        <f>3537+240672-95358</f>
        <v>148851</v>
      </c>
      <c r="AP19" s="63">
        <f>12786+869836-344642</f>
        <v>537980</v>
      </c>
      <c r="AQ19" s="63">
        <f t="shared" si="13"/>
        <v>686831</v>
      </c>
      <c r="AR19" s="63"/>
      <c r="AS19" s="63"/>
      <c r="AT19" s="63">
        <f t="shared" si="14"/>
        <v>0</v>
      </c>
      <c r="AU19" s="63"/>
      <c r="AV19" s="63"/>
      <c r="AW19" s="63">
        <f t="shared" si="15"/>
        <v>0</v>
      </c>
      <c r="AX19" s="63">
        <v>106227</v>
      </c>
      <c r="AY19" s="63">
        <v>667500</v>
      </c>
      <c r="AZ19" s="63">
        <f t="shared" si="16"/>
        <v>773727</v>
      </c>
      <c r="BA19" s="63">
        <f>-35450+50000</f>
        <v>14550</v>
      </c>
      <c r="BB19" s="63"/>
      <c r="BC19" s="63">
        <f t="shared" si="17"/>
        <v>14550</v>
      </c>
      <c r="BD19" s="63"/>
      <c r="BE19" s="63">
        <v>75125</v>
      </c>
      <c r="BF19" s="63">
        <f t="shared" si="18"/>
        <v>75125</v>
      </c>
      <c r="BG19" s="63"/>
      <c r="BH19" s="63"/>
      <c r="BI19" s="63">
        <f t="shared" si="19"/>
        <v>0</v>
      </c>
      <c r="BJ19" s="63">
        <v>24987</v>
      </c>
      <c r="BK19" s="63">
        <v>25279</v>
      </c>
      <c r="BL19" s="63">
        <f t="shared" si="20"/>
        <v>50266</v>
      </c>
      <c r="BM19" s="63">
        <v>11333112</v>
      </c>
      <c r="BN19" s="63">
        <v>26006592</v>
      </c>
      <c r="BO19" s="63">
        <f t="shared" si="21"/>
        <v>37339704</v>
      </c>
      <c r="BP19" s="63"/>
      <c r="BQ19" s="63"/>
      <c r="BR19" s="63">
        <f t="shared" si="32"/>
        <v>0</v>
      </c>
      <c r="BS19" s="63"/>
      <c r="BT19" s="63"/>
      <c r="BU19" s="63">
        <f t="shared" si="22"/>
        <v>0</v>
      </c>
      <c r="BV19" s="63">
        <f>325231-25090</f>
        <v>300141</v>
      </c>
      <c r="BW19" s="63">
        <f>1941619-149784</f>
        <v>1791835</v>
      </c>
      <c r="BX19" s="63">
        <f t="shared" si="23"/>
        <v>2091976</v>
      </c>
      <c r="BY19" s="63">
        <v>50000</v>
      </c>
      <c r="BZ19" s="63"/>
      <c r="CA19" s="63">
        <f t="shared" si="1"/>
        <v>50000</v>
      </c>
      <c r="CB19" s="63">
        <v>396075</v>
      </c>
      <c r="CC19" s="63">
        <v>1692622</v>
      </c>
      <c r="CD19" s="63">
        <f t="shared" si="24"/>
        <v>2088697</v>
      </c>
      <c r="CE19" s="63"/>
      <c r="CF19" s="63"/>
      <c r="CG19" s="63">
        <f t="shared" si="25"/>
        <v>0</v>
      </c>
      <c r="CH19" s="63"/>
      <c r="CI19" s="63"/>
      <c r="CJ19" s="63">
        <f t="shared" si="26"/>
        <v>0</v>
      </c>
      <c r="CK19" s="63">
        <v>190762</v>
      </c>
      <c r="CL19" s="63">
        <v>264546</v>
      </c>
      <c r="CM19" s="63">
        <f t="shared" si="27"/>
        <v>455308</v>
      </c>
      <c r="CN19" s="63">
        <f>29272+90644</f>
        <v>119916</v>
      </c>
      <c r="CO19" s="63">
        <f>116580+361003</f>
        <v>477583</v>
      </c>
      <c r="CP19" s="63">
        <f t="shared" si="28"/>
        <v>597499</v>
      </c>
      <c r="CQ19" s="63"/>
      <c r="CR19" s="63"/>
      <c r="CS19" s="63">
        <v>16781372</v>
      </c>
      <c r="CT19" s="63">
        <v>17116</v>
      </c>
      <c r="CU19" s="63">
        <v>46410</v>
      </c>
      <c r="CV19" s="63">
        <f t="shared" si="30"/>
        <v>63526</v>
      </c>
    </row>
    <row r="20" spans="1:100" s="66" customFormat="1" ht="15" customHeight="1" x14ac:dyDescent="0.25">
      <c r="A20" s="62" t="s">
        <v>206</v>
      </c>
      <c r="B20" s="65">
        <f>SUM(B6:B19)</f>
        <v>1169151</v>
      </c>
      <c r="C20" s="65">
        <f t="shared" ref="C20:BN20" si="33">SUM(C6:C19)</f>
        <v>1728719</v>
      </c>
      <c r="D20" s="65">
        <f t="shared" si="33"/>
        <v>2897870</v>
      </c>
      <c r="E20" s="65">
        <f t="shared" si="33"/>
        <v>2370652</v>
      </c>
      <c r="F20" s="65">
        <f t="shared" si="33"/>
        <v>5282942</v>
      </c>
      <c r="G20" s="65">
        <f t="shared" si="33"/>
        <v>7653594</v>
      </c>
      <c r="H20" s="65">
        <f t="shared" si="33"/>
        <v>0</v>
      </c>
      <c r="I20" s="65">
        <f t="shared" si="33"/>
        <v>0</v>
      </c>
      <c r="J20" s="65">
        <f t="shared" si="33"/>
        <v>49449342</v>
      </c>
      <c r="K20" s="65">
        <f t="shared" si="33"/>
        <v>34329335</v>
      </c>
      <c r="L20" s="65">
        <f t="shared" si="33"/>
        <v>139389422</v>
      </c>
      <c r="M20" s="65">
        <f t="shared" si="33"/>
        <v>173718757</v>
      </c>
      <c r="N20" s="65">
        <f t="shared" si="33"/>
        <v>6567739</v>
      </c>
      <c r="O20" s="65">
        <f t="shared" si="33"/>
        <v>36163163</v>
      </c>
      <c r="P20" s="65">
        <f t="shared" si="33"/>
        <v>42730902</v>
      </c>
      <c r="Q20" s="65">
        <f t="shared" si="33"/>
        <v>8609482</v>
      </c>
      <c r="R20" s="65">
        <f t="shared" si="33"/>
        <v>77603392</v>
      </c>
      <c r="S20" s="65">
        <f t="shared" si="33"/>
        <v>86212874</v>
      </c>
      <c r="T20" s="65">
        <f t="shared" si="33"/>
        <v>683178</v>
      </c>
      <c r="U20" s="65">
        <f t="shared" si="33"/>
        <v>1322919</v>
      </c>
      <c r="V20" s="65">
        <f t="shared" si="33"/>
        <v>2006097</v>
      </c>
      <c r="W20" s="65">
        <f t="shared" si="33"/>
        <v>43050643.399999999</v>
      </c>
      <c r="X20" s="65">
        <f t="shared" si="33"/>
        <v>57067131.990000002</v>
      </c>
      <c r="Y20" s="65">
        <f t="shared" si="33"/>
        <v>100117775.39</v>
      </c>
      <c r="Z20" s="65">
        <f t="shared" si="33"/>
        <v>8482220</v>
      </c>
      <c r="AA20" s="65">
        <f t="shared" si="33"/>
        <v>33557438</v>
      </c>
      <c r="AB20" s="65">
        <f t="shared" si="33"/>
        <v>42039658</v>
      </c>
      <c r="AC20" s="65">
        <f t="shared" si="33"/>
        <v>6628508</v>
      </c>
      <c r="AD20" s="65">
        <f t="shared" si="33"/>
        <v>27492672</v>
      </c>
      <c r="AE20" s="65">
        <f t="shared" si="33"/>
        <v>34121180</v>
      </c>
      <c r="AF20" s="65">
        <f t="shared" si="33"/>
        <v>18729374</v>
      </c>
      <c r="AG20" s="65">
        <f t="shared" si="33"/>
        <v>89055447</v>
      </c>
      <c r="AH20" s="65">
        <f t="shared" si="33"/>
        <v>107784821</v>
      </c>
      <c r="AI20" s="65">
        <f t="shared" si="33"/>
        <v>3944759</v>
      </c>
      <c r="AJ20" s="65">
        <f t="shared" si="33"/>
        <v>11834275</v>
      </c>
      <c r="AK20" s="65">
        <f t="shared" si="33"/>
        <v>15779034</v>
      </c>
      <c r="AL20" s="65">
        <f t="shared" si="33"/>
        <v>56775186</v>
      </c>
      <c r="AM20" s="65">
        <f t="shared" si="33"/>
        <v>194286409</v>
      </c>
      <c r="AN20" s="65">
        <f t="shared" si="33"/>
        <v>251061595</v>
      </c>
      <c r="AO20" s="65">
        <f t="shared" si="33"/>
        <v>18734033</v>
      </c>
      <c r="AP20" s="65">
        <f t="shared" si="33"/>
        <v>67708443</v>
      </c>
      <c r="AQ20" s="65">
        <f t="shared" si="33"/>
        <v>86442476</v>
      </c>
      <c r="AR20" s="65">
        <f t="shared" si="33"/>
        <v>1576147</v>
      </c>
      <c r="AS20" s="65">
        <f t="shared" si="33"/>
        <v>5005271</v>
      </c>
      <c r="AT20" s="65">
        <f t="shared" si="33"/>
        <v>6581418</v>
      </c>
      <c r="AU20" s="65">
        <f t="shared" si="33"/>
        <v>6137922</v>
      </c>
      <c r="AV20" s="65">
        <f t="shared" si="33"/>
        <v>16684376</v>
      </c>
      <c r="AW20" s="65">
        <f t="shared" si="33"/>
        <v>22822298</v>
      </c>
      <c r="AX20" s="65">
        <f t="shared" si="33"/>
        <v>3014783</v>
      </c>
      <c r="AY20" s="65">
        <f t="shared" si="33"/>
        <v>18943960</v>
      </c>
      <c r="AZ20" s="65">
        <f t="shared" si="33"/>
        <v>21958743</v>
      </c>
      <c r="BA20" s="65">
        <f t="shared" si="33"/>
        <v>1473082</v>
      </c>
      <c r="BB20" s="65">
        <f t="shared" si="33"/>
        <v>3310510</v>
      </c>
      <c r="BC20" s="65">
        <f t="shared" si="33"/>
        <v>4783592</v>
      </c>
      <c r="BD20" s="65">
        <f t="shared" si="33"/>
        <v>3435504</v>
      </c>
      <c r="BE20" s="65">
        <f t="shared" si="33"/>
        <v>4817044</v>
      </c>
      <c r="BF20" s="65">
        <f t="shared" si="33"/>
        <v>8252548</v>
      </c>
      <c r="BG20" s="65">
        <f t="shared" si="33"/>
        <v>0</v>
      </c>
      <c r="BH20" s="65">
        <f t="shared" si="33"/>
        <v>206004580</v>
      </c>
      <c r="BI20" s="65">
        <f t="shared" si="33"/>
        <v>206004580</v>
      </c>
      <c r="BJ20" s="65">
        <f t="shared" si="33"/>
        <v>2847864</v>
      </c>
      <c r="BK20" s="65">
        <f t="shared" si="33"/>
        <v>1604543</v>
      </c>
      <c r="BL20" s="65">
        <f t="shared" si="33"/>
        <v>4452407</v>
      </c>
      <c r="BM20" s="65">
        <f t="shared" si="33"/>
        <v>166719003</v>
      </c>
      <c r="BN20" s="65">
        <f t="shared" si="33"/>
        <v>371235100</v>
      </c>
      <c r="BO20" s="65">
        <f t="shared" ref="BO20:CV20" si="34">SUM(BO6:BO19)</f>
        <v>537954103</v>
      </c>
      <c r="BP20" s="65">
        <f t="shared" si="34"/>
        <v>0</v>
      </c>
      <c r="BQ20" s="65">
        <f t="shared" si="34"/>
        <v>0</v>
      </c>
      <c r="BR20" s="65">
        <f t="shared" si="34"/>
        <v>201265311</v>
      </c>
      <c r="BS20" s="65">
        <f t="shared" si="34"/>
        <v>821344</v>
      </c>
      <c r="BT20" s="65">
        <f t="shared" si="34"/>
        <v>2517752</v>
      </c>
      <c r="BU20" s="65">
        <f t="shared" si="34"/>
        <v>3339096</v>
      </c>
      <c r="BV20" s="65">
        <f t="shared" si="34"/>
        <v>13471326</v>
      </c>
      <c r="BW20" s="65">
        <f t="shared" si="34"/>
        <v>80423412</v>
      </c>
      <c r="BX20" s="65">
        <f t="shared" si="34"/>
        <v>93894738</v>
      </c>
      <c r="BY20" s="65">
        <f t="shared" si="34"/>
        <v>8203182</v>
      </c>
      <c r="BZ20" s="65">
        <f t="shared" si="34"/>
        <v>11168486</v>
      </c>
      <c r="CA20" s="65">
        <f t="shared" si="34"/>
        <v>19371668</v>
      </c>
      <c r="CB20" s="65">
        <f t="shared" si="34"/>
        <v>9566826</v>
      </c>
      <c r="CC20" s="65">
        <f t="shared" si="34"/>
        <v>40883732</v>
      </c>
      <c r="CD20" s="65">
        <f t="shared" si="34"/>
        <v>50450558</v>
      </c>
      <c r="CE20" s="65">
        <f t="shared" si="34"/>
        <v>19786758</v>
      </c>
      <c r="CF20" s="65">
        <f t="shared" si="34"/>
        <v>50463380</v>
      </c>
      <c r="CG20" s="65">
        <f t="shared" si="34"/>
        <v>70250138</v>
      </c>
      <c r="CH20" s="65">
        <f t="shared" si="34"/>
        <v>11870662</v>
      </c>
      <c r="CI20" s="65">
        <f t="shared" si="34"/>
        <v>51046734</v>
      </c>
      <c r="CJ20" s="65">
        <f t="shared" si="34"/>
        <v>62917396</v>
      </c>
      <c r="CK20" s="65">
        <f t="shared" si="34"/>
        <v>17984613</v>
      </c>
      <c r="CL20" s="65">
        <f t="shared" si="34"/>
        <v>24940778</v>
      </c>
      <c r="CM20" s="65">
        <f t="shared" si="34"/>
        <v>42925391</v>
      </c>
      <c r="CN20" s="65">
        <f t="shared" si="34"/>
        <v>24943994</v>
      </c>
      <c r="CO20" s="65">
        <f t="shared" si="34"/>
        <v>99343067</v>
      </c>
      <c r="CP20" s="65">
        <f t="shared" si="34"/>
        <v>124287061</v>
      </c>
      <c r="CQ20" s="65">
        <f t="shared" si="34"/>
        <v>0</v>
      </c>
      <c r="CR20" s="65">
        <f t="shared" si="34"/>
        <v>0</v>
      </c>
      <c r="CS20" s="65">
        <f t="shared" si="34"/>
        <v>261752812</v>
      </c>
      <c r="CT20" s="65">
        <f t="shared" si="34"/>
        <v>6588267</v>
      </c>
      <c r="CU20" s="65">
        <f t="shared" si="34"/>
        <v>17863738</v>
      </c>
      <c r="CV20" s="65">
        <f t="shared" si="34"/>
        <v>24452005</v>
      </c>
    </row>
    <row r="21" spans="1:100" ht="15" customHeight="1" x14ac:dyDescent="0.25">
      <c r="A21" s="62" t="s">
        <v>207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</row>
    <row r="22" spans="1:100" ht="30" x14ac:dyDescent="0.25">
      <c r="A22" s="64" t="s">
        <v>192</v>
      </c>
      <c r="B22" s="63">
        <v>359781</v>
      </c>
      <c r="C22" s="63">
        <v>531976</v>
      </c>
      <c r="D22" s="63">
        <f t="shared" ref="D22:D35" si="35">B22+C22</f>
        <v>891757</v>
      </c>
      <c r="E22" s="63"/>
      <c r="F22" s="63">
        <v>249456</v>
      </c>
      <c r="G22" s="63">
        <f t="shared" ref="G22:G35" si="36">F22+E22</f>
        <v>249456</v>
      </c>
      <c r="H22" s="63"/>
      <c r="I22" s="63"/>
      <c r="J22" s="63">
        <v>1135758</v>
      </c>
      <c r="K22" s="63"/>
      <c r="L22" s="63">
        <v>54802</v>
      </c>
      <c r="M22" s="63">
        <f t="shared" ref="M22:M35" si="37">L22+K22</f>
        <v>54802</v>
      </c>
      <c r="N22" s="63">
        <v>152131</v>
      </c>
      <c r="O22" s="63">
        <v>837661</v>
      </c>
      <c r="P22" s="63">
        <f t="shared" ref="P22:P35" si="38">O22+N22</f>
        <v>989792</v>
      </c>
      <c r="Q22" s="63"/>
      <c r="R22" s="63"/>
      <c r="S22" s="63">
        <f t="shared" ref="S22:S35" si="39">R22+Q22</f>
        <v>0</v>
      </c>
      <c r="T22" s="63"/>
      <c r="U22" s="63">
        <v>355754</v>
      </c>
      <c r="V22" s="63">
        <f t="shared" ref="V22:V35" si="40">U22+T22</f>
        <v>355754</v>
      </c>
      <c r="W22" s="63">
        <f>683064.93+372155.18</f>
        <v>1055220.1100000001</v>
      </c>
      <c r="X22" s="63">
        <f>905458.17+493321.99</f>
        <v>1398780.1600000001</v>
      </c>
      <c r="Y22" s="63">
        <f t="shared" ref="Y22:Y35" si="41">X22+W22</f>
        <v>2454000.2700000005</v>
      </c>
      <c r="Z22" s="63">
        <v>283233</v>
      </c>
      <c r="AA22" s="63">
        <v>1120529</v>
      </c>
      <c r="AB22" s="63">
        <f t="shared" ref="AB22:AB35" si="42">AA22+Z22</f>
        <v>1403762</v>
      </c>
      <c r="AC22" s="63"/>
      <c r="AD22" s="63">
        <v>100025</v>
      </c>
      <c r="AE22" s="63">
        <f t="shared" ref="AE22:AE35" si="43">AD22+AC22</f>
        <v>100025</v>
      </c>
      <c r="AF22" s="63"/>
      <c r="AG22" s="63"/>
      <c r="AH22" s="63">
        <f t="shared" ref="AH22:AH35" si="44">AG22+AF22</f>
        <v>0</v>
      </c>
      <c r="AI22" s="63">
        <v>111767</v>
      </c>
      <c r="AJ22" s="63">
        <v>335300</v>
      </c>
      <c r="AK22" s="63">
        <f t="shared" ref="AK22:AK35" si="45">AJ22+AI22</f>
        <v>447067</v>
      </c>
      <c r="AL22" s="63">
        <v>727848</v>
      </c>
      <c r="AM22" s="63">
        <v>2500739</v>
      </c>
      <c r="AN22" s="63">
        <f t="shared" ref="AN22:AN35" si="46">AM22+AL22</f>
        <v>3228587</v>
      </c>
      <c r="AO22" s="63">
        <v>279532</v>
      </c>
      <c r="AP22" s="63">
        <v>1010282</v>
      </c>
      <c r="AQ22" s="63">
        <f t="shared" ref="AQ22:AQ35" si="47">AP22+AO22</f>
        <v>1289814</v>
      </c>
      <c r="AR22" s="63">
        <v>71300</v>
      </c>
      <c r="AS22" s="63">
        <v>226422</v>
      </c>
      <c r="AT22" s="63">
        <f t="shared" ref="AT22:AT35" si="48">AS22+AR22</f>
        <v>297722</v>
      </c>
      <c r="AU22" s="63">
        <v>80857</v>
      </c>
      <c r="AV22" s="63">
        <v>219789</v>
      </c>
      <c r="AW22" s="63">
        <f t="shared" ref="AW22:AW35" si="49">AV22+AU22</f>
        <v>300646</v>
      </c>
      <c r="AX22" s="63"/>
      <c r="AY22" s="63"/>
      <c r="AZ22" s="63">
        <f t="shared" ref="AZ22:AZ35" si="50">AY22+AX22</f>
        <v>0</v>
      </c>
      <c r="BA22" s="63">
        <v>50854</v>
      </c>
      <c r="BB22" s="63"/>
      <c r="BC22" s="63">
        <f t="shared" ref="BC22:BC35" si="51">BB22+BA22</f>
        <v>50854</v>
      </c>
      <c r="BD22" s="63"/>
      <c r="BE22" s="63">
        <v>403729</v>
      </c>
      <c r="BF22" s="63">
        <f t="shared" ref="BF22:BF35" si="52">BE22+BD22</f>
        <v>403729</v>
      </c>
      <c r="BG22" s="63"/>
      <c r="BH22" s="63">
        <v>2510139</v>
      </c>
      <c r="BI22" s="63">
        <f t="shared" ref="BI22:BI35" si="53">BH22+BG22</f>
        <v>2510139</v>
      </c>
      <c r="BJ22" s="63"/>
      <c r="BK22" s="63"/>
      <c r="BL22" s="63">
        <f t="shared" ref="BL22:BL35" si="54">BK22+BJ22</f>
        <v>0</v>
      </c>
      <c r="BM22" s="63">
        <v>1812212</v>
      </c>
      <c r="BN22" s="63">
        <v>4245555</v>
      </c>
      <c r="BO22" s="63">
        <f t="shared" ref="BO22:BO35" si="55">BN22+BM22</f>
        <v>6057767</v>
      </c>
      <c r="BP22" s="63"/>
      <c r="BQ22" s="63"/>
      <c r="BR22" s="63">
        <v>4087044</v>
      </c>
      <c r="BS22" s="63">
        <v>197344</v>
      </c>
      <c r="BT22" s="63">
        <v>604939</v>
      </c>
      <c r="BU22" s="63">
        <f t="shared" ref="BU22:BU35" si="56">BT22+BS22</f>
        <v>802283</v>
      </c>
      <c r="BV22" s="63"/>
      <c r="BW22" s="63"/>
      <c r="BX22" s="63">
        <f t="shared" ref="BX22:BX35" si="57">BW22+BV22</f>
        <v>0</v>
      </c>
      <c r="BY22" s="63">
        <v>50333</v>
      </c>
      <c r="BZ22" s="63">
        <v>210316</v>
      </c>
      <c r="CA22" s="63">
        <f t="shared" ref="CA22:CA23" si="58">BZ22+BY22</f>
        <v>260649</v>
      </c>
      <c r="CB22" s="63"/>
      <c r="CC22" s="63"/>
      <c r="CD22" s="63">
        <f t="shared" ref="CD22:CD35" si="59">CC22+CB22</f>
        <v>0</v>
      </c>
      <c r="CE22" s="63"/>
      <c r="CF22" s="63">
        <v>1959209</v>
      </c>
      <c r="CG22" s="63">
        <f t="shared" ref="CG22:CG35" si="60">CF22+CE22</f>
        <v>1959209</v>
      </c>
      <c r="CH22" s="63">
        <v>1782040</v>
      </c>
      <c r="CI22" s="63">
        <v>20089143</v>
      </c>
      <c r="CJ22" s="63">
        <f t="shared" ref="CJ22:CJ35" si="61">CI22+CH22</f>
        <v>21871183</v>
      </c>
      <c r="CK22" s="63">
        <v>137633</v>
      </c>
      <c r="CL22" s="63">
        <v>190867</v>
      </c>
      <c r="CM22" s="63">
        <f t="shared" ref="CM22:CM35" si="62">CL22+CK22</f>
        <v>328500</v>
      </c>
      <c r="CN22" s="63">
        <v>120395</v>
      </c>
      <c r="CO22" s="63">
        <v>479491</v>
      </c>
      <c r="CP22" s="63">
        <f t="shared" ref="CP22:CP35" si="63">CO22+CN22</f>
        <v>599886</v>
      </c>
      <c r="CQ22" s="63"/>
      <c r="CR22" s="63"/>
      <c r="CS22" s="63">
        <v>15613665</v>
      </c>
      <c r="CT22" s="63">
        <v>339817</v>
      </c>
      <c r="CU22" s="63">
        <v>921396</v>
      </c>
      <c r="CV22" s="63">
        <f t="shared" ref="CV22:CV35" si="64">CU22+CT22</f>
        <v>1261213</v>
      </c>
    </row>
    <row r="23" spans="1:100" ht="15" customHeight="1" x14ac:dyDescent="0.25">
      <c r="A23" s="64" t="s">
        <v>193</v>
      </c>
      <c r="B23" s="63"/>
      <c r="C23" s="63"/>
      <c r="D23" s="63">
        <f t="shared" si="35"/>
        <v>0</v>
      </c>
      <c r="E23" s="63"/>
      <c r="F23" s="63"/>
      <c r="G23" s="63">
        <f t="shared" si="36"/>
        <v>0</v>
      </c>
      <c r="H23" s="63"/>
      <c r="I23" s="63"/>
      <c r="J23" s="63">
        <v>2638952</v>
      </c>
      <c r="K23" s="63"/>
      <c r="L23" s="63"/>
      <c r="M23" s="63">
        <f t="shared" si="37"/>
        <v>0</v>
      </c>
      <c r="N23" s="63">
        <v>7707</v>
      </c>
      <c r="O23" s="63">
        <v>42435</v>
      </c>
      <c r="P23" s="63">
        <f t="shared" si="38"/>
        <v>50142</v>
      </c>
      <c r="Q23" s="63"/>
      <c r="R23" s="63"/>
      <c r="S23" s="63">
        <f t="shared" si="39"/>
        <v>0</v>
      </c>
      <c r="T23" s="63">
        <v>3000</v>
      </c>
      <c r="U23" s="63"/>
      <c r="V23" s="63">
        <f t="shared" si="40"/>
        <v>3000</v>
      </c>
      <c r="W23" s="63"/>
      <c r="X23" s="63"/>
      <c r="Y23" s="63">
        <f t="shared" si="41"/>
        <v>0</v>
      </c>
      <c r="Z23" s="63"/>
      <c r="AA23" s="63"/>
      <c r="AB23" s="63">
        <f t="shared" si="42"/>
        <v>0</v>
      </c>
      <c r="AC23" s="63"/>
      <c r="AD23" s="63"/>
      <c r="AE23" s="63">
        <f t="shared" si="43"/>
        <v>0</v>
      </c>
      <c r="AF23" s="63"/>
      <c r="AG23" s="63"/>
      <c r="AH23" s="63">
        <f t="shared" si="44"/>
        <v>0</v>
      </c>
      <c r="AI23" s="63"/>
      <c r="AJ23" s="63"/>
      <c r="AK23" s="63">
        <f t="shared" si="45"/>
        <v>0</v>
      </c>
      <c r="AL23" s="63">
        <v>2390155</v>
      </c>
      <c r="AM23" s="63">
        <v>8212089</v>
      </c>
      <c r="AN23" s="63">
        <f t="shared" si="46"/>
        <v>10602244</v>
      </c>
      <c r="AO23" s="63">
        <v>2232090</v>
      </c>
      <c r="AP23" s="63">
        <v>8067210</v>
      </c>
      <c r="AQ23" s="63">
        <f t="shared" si="47"/>
        <v>10299300</v>
      </c>
      <c r="AR23" s="63"/>
      <c r="AS23" s="63"/>
      <c r="AT23" s="63">
        <f t="shared" si="48"/>
        <v>0</v>
      </c>
      <c r="AU23" s="63"/>
      <c r="AV23" s="63"/>
      <c r="AW23" s="63">
        <f t="shared" si="49"/>
        <v>0</v>
      </c>
      <c r="AX23" s="63"/>
      <c r="AY23" s="63"/>
      <c r="AZ23" s="63">
        <f t="shared" si="50"/>
        <v>0</v>
      </c>
      <c r="BA23" s="63"/>
      <c r="BB23" s="63"/>
      <c r="BC23" s="63">
        <f t="shared" si="51"/>
        <v>0</v>
      </c>
      <c r="BD23" s="63"/>
      <c r="BE23" s="63">
        <v>102419</v>
      </c>
      <c r="BF23" s="63">
        <f t="shared" si="52"/>
        <v>102419</v>
      </c>
      <c r="BG23" s="63"/>
      <c r="BH23" s="63"/>
      <c r="BI23" s="63">
        <f t="shared" si="53"/>
        <v>0</v>
      </c>
      <c r="BJ23" s="63"/>
      <c r="BK23" s="63"/>
      <c r="BL23" s="63">
        <f t="shared" si="54"/>
        <v>0</v>
      </c>
      <c r="BM23" s="63"/>
      <c r="BN23" s="63"/>
      <c r="BO23" s="63">
        <f t="shared" si="55"/>
        <v>0</v>
      </c>
      <c r="BP23" s="63"/>
      <c r="BQ23" s="63"/>
      <c r="BR23" s="63">
        <f t="shared" ref="BR23:BR35" si="65">BQ23+BP23</f>
        <v>0</v>
      </c>
      <c r="BS23" s="63"/>
      <c r="BT23" s="63"/>
      <c r="BU23" s="63">
        <f t="shared" si="56"/>
        <v>0</v>
      </c>
      <c r="BV23" s="63"/>
      <c r="BW23" s="63"/>
      <c r="BX23" s="63">
        <f t="shared" si="57"/>
        <v>0</v>
      </c>
      <c r="BY23" s="63"/>
      <c r="BZ23" s="63"/>
      <c r="CA23" s="63">
        <f t="shared" si="58"/>
        <v>0</v>
      </c>
      <c r="CB23" s="63"/>
      <c r="CC23" s="63"/>
      <c r="CD23" s="63">
        <f t="shared" si="59"/>
        <v>0</v>
      </c>
      <c r="CE23" s="63"/>
      <c r="CF23" s="63">
        <v>99980</v>
      </c>
      <c r="CG23" s="63">
        <f t="shared" si="60"/>
        <v>99980</v>
      </c>
      <c r="CH23" s="63">
        <v>757</v>
      </c>
      <c r="CI23" s="63">
        <v>2090000</v>
      </c>
      <c r="CJ23" s="63">
        <f t="shared" si="61"/>
        <v>2090757</v>
      </c>
      <c r="CK23" s="63">
        <v>123874</v>
      </c>
      <c r="CL23" s="63">
        <v>171786</v>
      </c>
      <c r="CM23" s="63">
        <f t="shared" si="62"/>
        <v>295660</v>
      </c>
      <c r="CN23" s="63"/>
      <c r="CO23" s="63"/>
      <c r="CP23" s="63"/>
      <c r="CQ23" s="63"/>
      <c r="CR23" s="63"/>
      <c r="CS23" s="63">
        <f t="shared" ref="CS23:CS33" si="66">CR23+CQ23</f>
        <v>0</v>
      </c>
      <c r="CT23" s="63"/>
      <c r="CU23" s="63"/>
      <c r="CV23" s="63">
        <f t="shared" si="64"/>
        <v>0</v>
      </c>
    </row>
    <row r="24" spans="1:100" ht="15" customHeight="1" x14ac:dyDescent="0.25">
      <c r="A24" s="64" t="s">
        <v>194</v>
      </c>
      <c r="B24" s="63"/>
      <c r="C24" s="63"/>
      <c r="D24" s="63">
        <f t="shared" si="35"/>
        <v>0</v>
      </c>
      <c r="E24" s="63"/>
      <c r="F24" s="63"/>
      <c r="G24" s="63">
        <f t="shared" si="36"/>
        <v>0</v>
      </c>
      <c r="H24" s="63"/>
      <c r="I24" s="63"/>
      <c r="J24" s="63">
        <f t="shared" ref="J24:J33" si="67">I24+H24</f>
        <v>0</v>
      </c>
      <c r="K24" s="63"/>
      <c r="L24" s="63"/>
      <c r="M24" s="63">
        <f t="shared" si="37"/>
        <v>0</v>
      </c>
      <c r="N24" s="63"/>
      <c r="O24" s="63"/>
      <c r="P24" s="63">
        <f t="shared" si="38"/>
        <v>0</v>
      </c>
      <c r="Q24" s="63"/>
      <c r="R24" s="63"/>
      <c r="S24" s="63">
        <f t="shared" si="39"/>
        <v>0</v>
      </c>
      <c r="T24" s="63"/>
      <c r="U24" s="63"/>
      <c r="V24" s="63">
        <f t="shared" si="40"/>
        <v>0</v>
      </c>
      <c r="W24" s="63"/>
      <c r="X24" s="63"/>
      <c r="Y24" s="63">
        <f t="shared" si="41"/>
        <v>0</v>
      </c>
      <c r="Z24" s="63"/>
      <c r="AA24" s="63"/>
      <c r="AB24" s="63">
        <f t="shared" si="42"/>
        <v>0</v>
      </c>
      <c r="AC24" s="63"/>
      <c r="AD24" s="63"/>
      <c r="AE24" s="63">
        <f t="shared" si="43"/>
        <v>0</v>
      </c>
      <c r="AF24" s="63"/>
      <c r="AG24" s="63"/>
      <c r="AH24" s="63">
        <f t="shared" si="44"/>
        <v>0</v>
      </c>
      <c r="AI24" s="63"/>
      <c r="AJ24" s="63"/>
      <c r="AK24" s="63">
        <f t="shared" si="45"/>
        <v>0</v>
      </c>
      <c r="AL24" s="63"/>
      <c r="AM24" s="63"/>
      <c r="AN24" s="63">
        <f t="shared" si="46"/>
        <v>0</v>
      </c>
      <c r="AO24" s="63"/>
      <c r="AP24" s="63"/>
      <c r="AQ24" s="63">
        <f t="shared" si="47"/>
        <v>0</v>
      </c>
      <c r="AR24" s="63"/>
      <c r="AS24" s="63"/>
      <c r="AT24" s="63">
        <f t="shared" si="48"/>
        <v>0</v>
      </c>
      <c r="AU24" s="63"/>
      <c r="AV24" s="63"/>
      <c r="AW24" s="63">
        <f t="shared" si="49"/>
        <v>0</v>
      </c>
      <c r="AX24" s="63"/>
      <c r="AY24" s="63"/>
      <c r="AZ24" s="63">
        <f t="shared" si="50"/>
        <v>0</v>
      </c>
      <c r="BA24" s="63"/>
      <c r="BB24" s="63"/>
      <c r="BC24" s="63">
        <f t="shared" si="51"/>
        <v>0</v>
      </c>
      <c r="BD24" s="63"/>
      <c r="BE24" s="63"/>
      <c r="BF24" s="63">
        <f t="shared" si="52"/>
        <v>0</v>
      </c>
      <c r="BG24" s="63"/>
      <c r="BH24" s="63"/>
      <c r="BI24" s="63">
        <f t="shared" si="53"/>
        <v>0</v>
      </c>
      <c r="BJ24" s="63"/>
      <c r="BK24" s="63"/>
      <c r="BL24" s="63">
        <f t="shared" si="54"/>
        <v>0</v>
      </c>
      <c r="BM24" s="63"/>
      <c r="BN24" s="63"/>
      <c r="BO24" s="63">
        <f t="shared" si="55"/>
        <v>0</v>
      </c>
      <c r="BP24" s="63"/>
      <c r="BQ24" s="63"/>
      <c r="BR24" s="63">
        <f t="shared" si="65"/>
        <v>0</v>
      </c>
      <c r="BS24" s="63"/>
      <c r="BT24" s="63"/>
      <c r="BU24" s="63">
        <f t="shared" si="56"/>
        <v>0</v>
      </c>
      <c r="BV24" s="63"/>
      <c r="BW24" s="63"/>
      <c r="BX24" s="63">
        <f t="shared" si="57"/>
        <v>0</v>
      </c>
      <c r="BY24" s="63"/>
      <c r="BZ24" s="63"/>
      <c r="CA24" s="63">
        <f t="shared" ref="CA24:CA34" si="68">BZ24+BY24</f>
        <v>0</v>
      </c>
      <c r="CB24" s="63"/>
      <c r="CC24" s="63"/>
      <c r="CD24" s="63">
        <f t="shared" si="59"/>
        <v>0</v>
      </c>
      <c r="CE24" s="63"/>
      <c r="CF24" s="63"/>
      <c r="CG24" s="63">
        <f t="shared" si="60"/>
        <v>0</v>
      </c>
      <c r="CH24" s="63"/>
      <c r="CI24" s="63"/>
      <c r="CJ24" s="63">
        <f t="shared" si="61"/>
        <v>0</v>
      </c>
      <c r="CK24" s="63"/>
      <c r="CL24" s="63"/>
      <c r="CM24" s="63">
        <f t="shared" si="62"/>
        <v>0</v>
      </c>
      <c r="CN24" s="63"/>
      <c r="CO24" s="63"/>
      <c r="CP24" s="63">
        <f t="shared" si="63"/>
        <v>0</v>
      </c>
      <c r="CQ24" s="63"/>
      <c r="CR24" s="63"/>
      <c r="CS24" s="63">
        <f t="shared" si="66"/>
        <v>0</v>
      </c>
      <c r="CT24" s="63"/>
      <c r="CU24" s="63"/>
      <c r="CV24" s="63">
        <f t="shared" si="64"/>
        <v>0</v>
      </c>
    </row>
    <row r="25" spans="1:100" ht="15" customHeight="1" x14ac:dyDescent="0.25">
      <c r="A25" s="64" t="s">
        <v>195</v>
      </c>
      <c r="B25" s="63"/>
      <c r="C25" s="63"/>
      <c r="D25" s="63">
        <f t="shared" si="35"/>
        <v>0</v>
      </c>
      <c r="E25" s="63"/>
      <c r="F25" s="63"/>
      <c r="G25" s="63">
        <f t="shared" si="36"/>
        <v>0</v>
      </c>
      <c r="H25" s="63"/>
      <c r="I25" s="63"/>
      <c r="J25" s="63">
        <f t="shared" si="67"/>
        <v>0</v>
      </c>
      <c r="K25" s="63"/>
      <c r="L25" s="63"/>
      <c r="M25" s="63">
        <f t="shared" si="37"/>
        <v>0</v>
      </c>
      <c r="N25" s="63"/>
      <c r="O25" s="63"/>
      <c r="P25" s="63">
        <f t="shared" si="38"/>
        <v>0</v>
      </c>
      <c r="Q25" s="63"/>
      <c r="R25" s="63"/>
      <c r="S25" s="63">
        <f t="shared" si="39"/>
        <v>0</v>
      </c>
      <c r="T25" s="63"/>
      <c r="U25" s="63"/>
      <c r="V25" s="63">
        <f t="shared" si="40"/>
        <v>0</v>
      </c>
      <c r="W25" s="63"/>
      <c r="X25" s="63"/>
      <c r="Y25" s="63">
        <f t="shared" si="41"/>
        <v>0</v>
      </c>
      <c r="Z25" s="63"/>
      <c r="AA25" s="63"/>
      <c r="AB25" s="63">
        <f t="shared" si="42"/>
        <v>0</v>
      </c>
      <c r="AC25" s="63"/>
      <c r="AD25" s="63"/>
      <c r="AE25" s="63">
        <f t="shared" si="43"/>
        <v>0</v>
      </c>
      <c r="AF25" s="63"/>
      <c r="AG25" s="63"/>
      <c r="AH25" s="63">
        <f t="shared" si="44"/>
        <v>0</v>
      </c>
      <c r="AI25" s="63"/>
      <c r="AJ25" s="63"/>
      <c r="AK25" s="63">
        <f t="shared" si="45"/>
        <v>0</v>
      </c>
      <c r="AL25" s="63"/>
      <c r="AM25" s="63"/>
      <c r="AN25" s="63">
        <f t="shared" si="46"/>
        <v>0</v>
      </c>
      <c r="AO25" s="63"/>
      <c r="AP25" s="63"/>
      <c r="AQ25" s="63">
        <f t="shared" si="47"/>
        <v>0</v>
      </c>
      <c r="AR25" s="63"/>
      <c r="AS25" s="63"/>
      <c r="AT25" s="63">
        <f t="shared" si="48"/>
        <v>0</v>
      </c>
      <c r="AU25" s="63"/>
      <c r="AV25" s="63"/>
      <c r="AW25" s="63">
        <f t="shared" si="49"/>
        <v>0</v>
      </c>
      <c r="AX25" s="63"/>
      <c r="AY25" s="63"/>
      <c r="AZ25" s="63">
        <f t="shared" si="50"/>
        <v>0</v>
      </c>
      <c r="BA25" s="63"/>
      <c r="BB25" s="63"/>
      <c r="BC25" s="63">
        <f t="shared" si="51"/>
        <v>0</v>
      </c>
      <c r="BD25" s="63"/>
      <c r="BE25" s="63"/>
      <c r="BF25" s="63">
        <f t="shared" si="52"/>
        <v>0</v>
      </c>
      <c r="BG25" s="63"/>
      <c r="BH25" s="63"/>
      <c r="BI25" s="63">
        <f t="shared" si="53"/>
        <v>0</v>
      </c>
      <c r="BJ25" s="63"/>
      <c r="BK25" s="63"/>
      <c r="BL25" s="63">
        <f t="shared" si="54"/>
        <v>0</v>
      </c>
      <c r="BM25" s="63"/>
      <c r="BN25" s="63"/>
      <c r="BO25" s="63">
        <f t="shared" si="55"/>
        <v>0</v>
      </c>
      <c r="BP25" s="63"/>
      <c r="BQ25" s="63"/>
      <c r="BR25" s="63">
        <f t="shared" si="65"/>
        <v>0</v>
      </c>
      <c r="BS25" s="63"/>
      <c r="BT25" s="63"/>
      <c r="BU25" s="63">
        <f t="shared" si="56"/>
        <v>0</v>
      </c>
      <c r="BV25" s="63"/>
      <c r="BW25" s="63"/>
      <c r="BX25" s="63">
        <f t="shared" si="57"/>
        <v>0</v>
      </c>
      <c r="BY25" s="63"/>
      <c r="BZ25" s="63"/>
      <c r="CA25" s="63">
        <f t="shared" si="68"/>
        <v>0</v>
      </c>
      <c r="CB25" s="63"/>
      <c r="CC25" s="63"/>
      <c r="CD25" s="63">
        <f t="shared" si="59"/>
        <v>0</v>
      </c>
      <c r="CE25" s="63"/>
      <c r="CF25" s="63"/>
      <c r="CG25" s="63">
        <f t="shared" si="60"/>
        <v>0</v>
      </c>
      <c r="CH25" s="63"/>
      <c r="CI25" s="63"/>
      <c r="CJ25" s="63">
        <f t="shared" si="61"/>
        <v>0</v>
      </c>
      <c r="CK25" s="63"/>
      <c r="CL25" s="63"/>
      <c r="CM25" s="63">
        <f t="shared" si="62"/>
        <v>0</v>
      </c>
      <c r="CN25" s="63"/>
      <c r="CO25" s="63"/>
      <c r="CP25" s="63">
        <f t="shared" si="63"/>
        <v>0</v>
      </c>
      <c r="CQ25" s="63"/>
      <c r="CR25" s="63"/>
      <c r="CS25" s="63">
        <f t="shared" si="66"/>
        <v>0</v>
      </c>
      <c r="CT25" s="63"/>
      <c r="CU25" s="63"/>
      <c r="CV25" s="63">
        <f t="shared" si="64"/>
        <v>0</v>
      </c>
    </row>
    <row r="26" spans="1:100" ht="15" customHeight="1" x14ac:dyDescent="0.25">
      <c r="A26" s="64" t="s">
        <v>196</v>
      </c>
      <c r="B26" s="63"/>
      <c r="C26" s="63"/>
      <c r="D26" s="63">
        <f t="shared" si="35"/>
        <v>0</v>
      </c>
      <c r="E26" s="63"/>
      <c r="F26" s="63"/>
      <c r="G26" s="63">
        <f t="shared" si="36"/>
        <v>0</v>
      </c>
      <c r="H26" s="63"/>
      <c r="I26" s="63"/>
      <c r="J26" s="63">
        <f t="shared" si="67"/>
        <v>0</v>
      </c>
      <c r="K26" s="63"/>
      <c r="L26" s="63"/>
      <c r="M26" s="63">
        <f t="shared" si="37"/>
        <v>0</v>
      </c>
      <c r="N26" s="63"/>
      <c r="O26" s="63"/>
      <c r="P26" s="63">
        <f t="shared" si="38"/>
        <v>0</v>
      </c>
      <c r="Q26" s="63"/>
      <c r="R26" s="63"/>
      <c r="S26" s="63">
        <f t="shared" si="39"/>
        <v>0</v>
      </c>
      <c r="T26" s="63">
        <v>44607</v>
      </c>
      <c r="U26" s="63">
        <v>68974</v>
      </c>
      <c r="V26" s="63">
        <f t="shared" si="40"/>
        <v>113581</v>
      </c>
      <c r="W26" s="63"/>
      <c r="X26" s="63"/>
      <c r="Y26" s="63">
        <f t="shared" si="41"/>
        <v>0</v>
      </c>
      <c r="Z26" s="63"/>
      <c r="AA26" s="63"/>
      <c r="AB26" s="63">
        <f t="shared" si="42"/>
        <v>0</v>
      </c>
      <c r="AC26" s="63"/>
      <c r="AD26" s="63"/>
      <c r="AE26" s="63">
        <f t="shared" si="43"/>
        <v>0</v>
      </c>
      <c r="AF26" s="63"/>
      <c r="AG26" s="63"/>
      <c r="AH26" s="63">
        <f t="shared" si="44"/>
        <v>0</v>
      </c>
      <c r="AI26" s="63"/>
      <c r="AJ26" s="63"/>
      <c r="AK26" s="63">
        <f t="shared" si="45"/>
        <v>0</v>
      </c>
      <c r="AL26" s="63"/>
      <c r="AM26" s="63"/>
      <c r="AN26" s="63">
        <f t="shared" si="46"/>
        <v>0</v>
      </c>
      <c r="AO26" s="63"/>
      <c r="AP26" s="63"/>
      <c r="AQ26" s="63">
        <f t="shared" si="47"/>
        <v>0</v>
      </c>
      <c r="AR26" s="63"/>
      <c r="AS26" s="63"/>
      <c r="AT26" s="63">
        <f t="shared" si="48"/>
        <v>0</v>
      </c>
      <c r="AU26" s="63"/>
      <c r="AV26" s="63"/>
      <c r="AW26" s="63">
        <f t="shared" si="49"/>
        <v>0</v>
      </c>
      <c r="AX26" s="63"/>
      <c r="AY26" s="63"/>
      <c r="AZ26" s="63">
        <f t="shared" si="50"/>
        <v>0</v>
      </c>
      <c r="BA26" s="63"/>
      <c r="BB26" s="63"/>
      <c r="BC26" s="63">
        <f t="shared" si="51"/>
        <v>0</v>
      </c>
      <c r="BD26" s="63"/>
      <c r="BE26" s="63"/>
      <c r="BF26" s="63">
        <f t="shared" si="52"/>
        <v>0</v>
      </c>
      <c r="BG26" s="63"/>
      <c r="BH26" s="63"/>
      <c r="BI26" s="63">
        <f t="shared" si="53"/>
        <v>0</v>
      </c>
      <c r="BJ26" s="63"/>
      <c r="BK26" s="63"/>
      <c r="BL26" s="63">
        <f t="shared" si="54"/>
        <v>0</v>
      </c>
      <c r="BM26" s="63"/>
      <c r="BN26" s="63"/>
      <c r="BO26" s="63">
        <f t="shared" si="55"/>
        <v>0</v>
      </c>
      <c r="BP26" s="63"/>
      <c r="BQ26" s="63"/>
      <c r="BR26" s="63">
        <f t="shared" si="65"/>
        <v>0</v>
      </c>
      <c r="BS26" s="63"/>
      <c r="BT26" s="63"/>
      <c r="BU26" s="63">
        <f t="shared" si="56"/>
        <v>0</v>
      </c>
      <c r="BV26" s="63">
        <v>212541</v>
      </c>
      <c r="BW26" s="63">
        <v>1268862</v>
      </c>
      <c r="BX26" s="63">
        <f t="shared" si="57"/>
        <v>1481403</v>
      </c>
      <c r="BY26" s="63"/>
      <c r="BZ26" s="63"/>
      <c r="CA26" s="63">
        <f t="shared" si="68"/>
        <v>0</v>
      </c>
      <c r="CB26" s="63">
        <v>424114</v>
      </c>
      <c r="CC26" s="63">
        <v>1812446</v>
      </c>
      <c r="CD26" s="63">
        <f t="shared" si="59"/>
        <v>2236560</v>
      </c>
      <c r="CE26" s="63"/>
      <c r="CF26" s="63"/>
      <c r="CG26" s="63">
        <f t="shared" si="60"/>
        <v>0</v>
      </c>
      <c r="CH26" s="63"/>
      <c r="CI26" s="63"/>
      <c r="CJ26" s="63">
        <f t="shared" si="61"/>
        <v>0</v>
      </c>
      <c r="CK26" s="63"/>
      <c r="CL26" s="63"/>
      <c r="CM26" s="63">
        <f t="shared" si="62"/>
        <v>0</v>
      </c>
      <c r="CN26" s="63"/>
      <c r="CO26" s="63"/>
      <c r="CP26" s="63">
        <f t="shared" si="63"/>
        <v>0</v>
      </c>
      <c r="CQ26" s="63"/>
      <c r="CR26" s="63"/>
      <c r="CS26" s="63">
        <f t="shared" si="66"/>
        <v>0</v>
      </c>
      <c r="CT26" s="63">
        <v>66420</v>
      </c>
      <c r="CU26" s="63">
        <v>180096</v>
      </c>
      <c r="CV26" s="63">
        <f t="shared" si="64"/>
        <v>246516</v>
      </c>
    </row>
    <row r="27" spans="1:100" ht="15" customHeight="1" x14ac:dyDescent="0.25">
      <c r="A27" s="64" t="s">
        <v>197</v>
      </c>
      <c r="B27" s="63"/>
      <c r="C27" s="63"/>
      <c r="D27" s="63">
        <f t="shared" si="35"/>
        <v>0</v>
      </c>
      <c r="E27" s="63"/>
      <c r="F27" s="63"/>
      <c r="G27" s="63">
        <f t="shared" si="36"/>
        <v>0</v>
      </c>
      <c r="H27" s="63"/>
      <c r="I27" s="63"/>
      <c r="J27" s="63">
        <f t="shared" si="67"/>
        <v>0</v>
      </c>
      <c r="K27" s="63"/>
      <c r="L27" s="63"/>
      <c r="M27" s="63">
        <f t="shared" si="37"/>
        <v>0</v>
      </c>
      <c r="N27" s="63"/>
      <c r="O27" s="63"/>
      <c r="P27" s="63">
        <f t="shared" si="38"/>
        <v>0</v>
      </c>
      <c r="Q27" s="63"/>
      <c r="R27" s="63"/>
      <c r="S27" s="63">
        <f t="shared" si="39"/>
        <v>0</v>
      </c>
      <c r="T27" s="63"/>
      <c r="U27" s="63"/>
      <c r="V27" s="63">
        <f t="shared" si="40"/>
        <v>0</v>
      </c>
      <c r="W27" s="63"/>
      <c r="X27" s="63"/>
      <c r="Y27" s="63">
        <f t="shared" si="41"/>
        <v>0</v>
      </c>
      <c r="Z27" s="63"/>
      <c r="AA27" s="63"/>
      <c r="AB27" s="63">
        <f t="shared" si="42"/>
        <v>0</v>
      </c>
      <c r="AC27" s="63"/>
      <c r="AD27" s="63"/>
      <c r="AE27" s="63">
        <f t="shared" si="43"/>
        <v>0</v>
      </c>
      <c r="AF27" s="63"/>
      <c r="AG27" s="63"/>
      <c r="AH27" s="63">
        <f t="shared" si="44"/>
        <v>0</v>
      </c>
      <c r="AI27" s="63"/>
      <c r="AJ27" s="63"/>
      <c r="AK27" s="63">
        <f t="shared" si="45"/>
        <v>0</v>
      </c>
      <c r="AL27" s="63"/>
      <c r="AM27" s="63"/>
      <c r="AN27" s="63">
        <f t="shared" si="46"/>
        <v>0</v>
      </c>
      <c r="AO27" s="63"/>
      <c r="AP27" s="63"/>
      <c r="AQ27" s="63">
        <f t="shared" si="47"/>
        <v>0</v>
      </c>
      <c r="AR27" s="63"/>
      <c r="AS27" s="63"/>
      <c r="AT27" s="63">
        <f t="shared" si="48"/>
        <v>0</v>
      </c>
      <c r="AU27" s="63"/>
      <c r="AV27" s="63"/>
      <c r="AW27" s="63">
        <f t="shared" si="49"/>
        <v>0</v>
      </c>
      <c r="AX27" s="63">
        <v>2571</v>
      </c>
      <c r="AY27" s="63">
        <v>16153</v>
      </c>
      <c r="AZ27" s="63">
        <f t="shared" si="50"/>
        <v>18724</v>
      </c>
      <c r="BA27" s="63"/>
      <c r="BB27" s="63"/>
      <c r="BC27" s="63">
        <f t="shared" si="51"/>
        <v>0</v>
      </c>
      <c r="BD27" s="63"/>
      <c r="BE27" s="63"/>
      <c r="BF27" s="63">
        <f t="shared" si="52"/>
        <v>0</v>
      </c>
      <c r="BG27" s="63"/>
      <c r="BH27" s="63"/>
      <c r="BI27" s="63">
        <f t="shared" si="53"/>
        <v>0</v>
      </c>
      <c r="BJ27" s="63"/>
      <c r="BK27" s="63"/>
      <c r="BL27" s="63">
        <f t="shared" si="54"/>
        <v>0</v>
      </c>
      <c r="BM27" s="63"/>
      <c r="BN27" s="63"/>
      <c r="BO27" s="63">
        <f t="shared" si="55"/>
        <v>0</v>
      </c>
      <c r="BP27" s="63"/>
      <c r="BQ27" s="63"/>
      <c r="BR27" s="63">
        <v>82</v>
      </c>
      <c r="BS27" s="63"/>
      <c r="BT27" s="63"/>
      <c r="BU27" s="63">
        <f t="shared" si="56"/>
        <v>0</v>
      </c>
      <c r="BV27" s="63"/>
      <c r="BW27" s="63"/>
      <c r="BX27" s="63">
        <f t="shared" si="57"/>
        <v>0</v>
      </c>
      <c r="BY27" s="63"/>
      <c r="BZ27" s="63"/>
      <c r="CA27" s="63">
        <f t="shared" si="68"/>
        <v>0</v>
      </c>
      <c r="CB27" s="63"/>
      <c r="CC27" s="63"/>
      <c r="CD27" s="63">
        <f t="shared" si="59"/>
        <v>0</v>
      </c>
      <c r="CE27" s="63"/>
      <c r="CF27" s="63"/>
      <c r="CG27" s="63">
        <f t="shared" si="60"/>
        <v>0</v>
      </c>
      <c r="CH27" s="63"/>
      <c r="CI27" s="63"/>
      <c r="CJ27" s="63">
        <f t="shared" si="61"/>
        <v>0</v>
      </c>
      <c r="CK27" s="63"/>
      <c r="CL27" s="63"/>
      <c r="CM27" s="63">
        <f t="shared" si="62"/>
        <v>0</v>
      </c>
      <c r="CN27" s="63"/>
      <c r="CO27" s="63"/>
      <c r="CP27" s="63">
        <f t="shared" si="63"/>
        <v>0</v>
      </c>
      <c r="CQ27" s="63"/>
      <c r="CR27" s="63"/>
      <c r="CS27" s="63">
        <f t="shared" si="66"/>
        <v>0</v>
      </c>
      <c r="CT27" s="63"/>
      <c r="CU27" s="63"/>
      <c r="CV27" s="63">
        <f t="shared" si="64"/>
        <v>0</v>
      </c>
    </row>
    <row r="28" spans="1:100" ht="15" customHeight="1" x14ac:dyDescent="0.25">
      <c r="A28" s="64" t="s">
        <v>198</v>
      </c>
      <c r="B28" s="63">
        <v>29775</v>
      </c>
      <c r="C28" s="63">
        <v>44026</v>
      </c>
      <c r="D28" s="63">
        <f t="shared" si="35"/>
        <v>73801</v>
      </c>
      <c r="E28" s="63"/>
      <c r="F28" s="63">
        <v>640435</v>
      </c>
      <c r="G28" s="63">
        <f t="shared" si="36"/>
        <v>640435</v>
      </c>
      <c r="H28" s="63"/>
      <c r="I28" s="63"/>
      <c r="J28" s="63">
        <v>7860325</v>
      </c>
      <c r="K28" s="63">
        <v>486041</v>
      </c>
      <c r="L28" s="63">
        <v>1027084</v>
      </c>
      <c r="M28" s="63">
        <f t="shared" si="37"/>
        <v>1513125</v>
      </c>
      <c r="N28" s="63">
        <v>339301</v>
      </c>
      <c r="O28" s="63">
        <v>1868254</v>
      </c>
      <c r="P28" s="63">
        <f t="shared" si="38"/>
        <v>2207555</v>
      </c>
      <c r="Q28" s="63">
        <v>98872</v>
      </c>
      <c r="R28" s="63">
        <v>891207</v>
      </c>
      <c r="S28" s="63">
        <f t="shared" si="39"/>
        <v>990079</v>
      </c>
      <c r="T28" s="63"/>
      <c r="U28" s="63">
        <v>258544</v>
      </c>
      <c r="V28" s="63">
        <f t="shared" si="40"/>
        <v>258544</v>
      </c>
      <c r="W28" s="63">
        <v>2393163.9900000002</v>
      </c>
      <c r="X28" s="63">
        <v>3172333.66</v>
      </c>
      <c r="Y28" s="63">
        <f t="shared" si="41"/>
        <v>5565497.6500000004</v>
      </c>
      <c r="Z28" s="63">
        <v>152</v>
      </c>
      <c r="AA28" s="63">
        <v>600</v>
      </c>
      <c r="AB28" s="63">
        <f t="shared" si="42"/>
        <v>752</v>
      </c>
      <c r="AC28" s="63"/>
      <c r="AD28" s="63">
        <v>1720613</v>
      </c>
      <c r="AE28" s="63">
        <f t="shared" si="43"/>
        <v>1720613</v>
      </c>
      <c r="AF28" s="63">
        <v>884420</v>
      </c>
      <c r="AG28" s="63">
        <v>4205290</v>
      </c>
      <c r="AH28" s="63">
        <f t="shared" si="44"/>
        <v>5089710</v>
      </c>
      <c r="AI28" s="63">
        <v>264137</v>
      </c>
      <c r="AJ28" s="63">
        <v>792412</v>
      </c>
      <c r="AK28" s="63">
        <f t="shared" si="45"/>
        <v>1056549</v>
      </c>
      <c r="AL28" s="63">
        <v>2272170</v>
      </c>
      <c r="AM28" s="63">
        <v>6765453</v>
      </c>
      <c r="AN28" s="63">
        <f t="shared" si="46"/>
        <v>9037623</v>
      </c>
      <c r="AO28" s="63">
        <v>375466</v>
      </c>
      <c r="AP28" s="63">
        <v>1357008</v>
      </c>
      <c r="AQ28" s="63">
        <f t="shared" si="47"/>
        <v>1732474</v>
      </c>
      <c r="AR28" s="63">
        <v>22254</v>
      </c>
      <c r="AS28" s="63">
        <v>70672</v>
      </c>
      <c r="AT28" s="63">
        <f t="shared" si="48"/>
        <v>92926</v>
      </c>
      <c r="AU28" s="63">
        <v>338628</v>
      </c>
      <c r="AV28" s="63">
        <v>900637</v>
      </c>
      <c r="AW28" s="63">
        <f t="shared" si="49"/>
        <v>1239265</v>
      </c>
      <c r="AX28" s="63">
        <v>97989</v>
      </c>
      <c r="AY28" s="63">
        <v>615735</v>
      </c>
      <c r="AZ28" s="63">
        <f t="shared" si="50"/>
        <v>713724</v>
      </c>
      <c r="BA28" s="63">
        <v>118077</v>
      </c>
      <c r="BB28" s="63">
        <v>144428</v>
      </c>
      <c r="BC28" s="63">
        <f t="shared" si="51"/>
        <v>262505</v>
      </c>
      <c r="BD28" s="63">
        <v>235315</v>
      </c>
      <c r="BE28" s="63">
        <v>79477</v>
      </c>
      <c r="BF28" s="63">
        <f t="shared" si="52"/>
        <v>314792</v>
      </c>
      <c r="BG28" s="63"/>
      <c r="BH28" s="63">
        <v>14111039</v>
      </c>
      <c r="BI28" s="63">
        <f>BH28+BG28</f>
        <v>14111039</v>
      </c>
      <c r="BJ28" s="63">
        <v>44286</v>
      </c>
      <c r="BK28" s="63">
        <v>125353</v>
      </c>
      <c r="BL28" s="63">
        <f t="shared" si="54"/>
        <v>169639</v>
      </c>
      <c r="BM28" s="63"/>
      <c r="BN28" s="63"/>
      <c r="BO28" s="63">
        <f t="shared" si="55"/>
        <v>0</v>
      </c>
      <c r="BP28" s="63"/>
      <c r="BQ28" s="63"/>
      <c r="BR28" s="63">
        <v>11767376</v>
      </c>
      <c r="BS28" s="63">
        <v>55567</v>
      </c>
      <c r="BT28" s="63">
        <v>170335</v>
      </c>
      <c r="BU28" s="63">
        <f t="shared" si="56"/>
        <v>225902</v>
      </c>
      <c r="BV28" s="63">
        <v>236882</v>
      </c>
      <c r="BW28" s="63">
        <v>1414179</v>
      </c>
      <c r="BX28" s="63">
        <f t="shared" si="57"/>
        <v>1651061</v>
      </c>
      <c r="BY28" s="63">
        <v>1482415</v>
      </c>
      <c r="BZ28" s="63"/>
      <c r="CA28" s="63">
        <f t="shared" si="68"/>
        <v>1482415</v>
      </c>
      <c r="CB28" s="63">
        <v>303847</v>
      </c>
      <c r="CC28" s="63">
        <v>1298488</v>
      </c>
      <c r="CD28" s="63">
        <f t="shared" si="59"/>
        <v>1602335</v>
      </c>
      <c r="CE28" s="63"/>
      <c r="CF28" s="63">
        <v>2194040</v>
      </c>
      <c r="CG28" s="63">
        <f t="shared" si="60"/>
        <v>2194040</v>
      </c>
      <c r="CH28" s="63"/>
      <c r="CI28" s="63"/>
      <c r="CJ28" s="63">
        <f t="shared" si="61"/>
        <v>0</v>
      </c>
      <c r="CK28" s="63">
        <v>873307</v>
      </c>
      <c r="CL28" s="63">
        <v>1211088</v>
      </c>
      <c r="CM28" s="63">
        <f t="shared" si="62"/>
        <v>2084395</v>
      </c>
      <c r="CN28" s="63"/>
      <c r="CO28" s="63"/>
      <c r="CP28" s="63">
        <f t="shared" si="63"/>
        <v>0</v>
      </c>
      <c r="CQ28" s="63"/>
      <c r="CR28" s="63"/>
      <c r="CS28" s="63">
        <v>6481369</v>
      </c>
      <c r="CT28" s="63">
        <v>52288</v>
      </c>
      <c r="CU28" s="63">
        <v>141777</v>
      </c>
      <c r="CV28" s="63">
        <f t="shared" si="64"/>
        <v>194065</v>
      </c>
    </row>
    <row r="29" spans="1:100" ht="15" customHeight="1" x14ac:dyDescent="0.25">
      <c r="A29" s="64" t="s">
        <v>199</v>
      </c>
      <c r="B29" s="63">
        <v>60478</v>
      </c>
      <c r="C29" s="63">
        <v>89423</v>
      </c>
      <c r="D29" s="63">
        <f t="shared" si="35"/>
        <v>149901</v>
      </c>
      <c r="E29" s="63">
        <v>99668</v>
      </c>
      <c r="F29" s="63">
        <v>199880</v>
      </c>
      <c r="G29" s="63">
        <f t="shared" si="36"/>
        <v>299548</v>
      </c>
      <c r="H29" s="63"/>
      <c r="I29" s="63"/>
      <c r="J29" s="63">
        <v>4240385</v>
      </c>
      <c r="K29" s="63">
        <v>143750</v>
      </c>
      <c r="L29" s="63">
        <v>5390235</v>
      </c>
      <c r="M29" s="63">
        <f t="shared" si="37"/>
        <v>5533985</v>
      </c>
      <c r="N29" s="63">
        <v>229055</v>
      </c>
      <c r="O29" s="63">
        <v>1261216</v>
      </c>
      <c r="P29" s="63">
        <f t="shared" si="38"/>
        <v>1490271</v>
      </c>
      <c r="Q29" s="63">
        <v>531763</v>
      </c>
      <c r="R29" s="63">
        <v>4793161</v>
      </c>
      <c r="S29" s="63">
        <f t="shared" si="39"/>
        <v>5324924</v>
      </c>
      <c r="T29" s="63"/>
      <c r="U29" s="63"/>
      <c r="V29" s="63">
        <f t="shared" si="40"/>
        <v>0</v>
      </c>
      <c r="W29" s="63">
        <f>1417196.8+236504.43</f>
        <v>1653701.23</v>
      </c>
      <c r="X29" s="63">
        <f>1878609.72+313505.88</f>
        <v>2192115.6</v>
      </c>
      <c r="Y29" s="63">
        <f t="shared" si="41"/>
        <v>3845816.83</v>
      </c>
      <c r="Z29" s="63">
        <v>86633</v>
      </c>
      <c r="AA29" s="63">
        <v>342739</v>
      </c>
      <c r="AB29" s="63">
        <f t="shared" si="42"/>
        <v>429372</v>
      </c>
      <c r="AC29" s="63">
        <v>398380</v>
      </c>
      <c r="AD29" s="63">
        <v>167835</v>
      </c>
      <c r="AE29" s="63">
        <f t="shared" si="43"/>
        <v>566215</v>
      </c>
      <c r="AF29" s="63">
        <v>251735</v>
      </c>
      <c r="AG29" s="63">
        <v>1196964</v>
      </c>
      <c r="AH29" s="63">
        <f t="shared" si="44"/>
        <v>1448699</v>
      </c>
      <c r="AI29" s="63">
        <v>225157</v>
      </c>
      <c r="AJ29" s="63">
        <v>675471</v>
      </c>
      <c r="AK29" s="63">
        <f t="shared" si="45"/>
        <v>900628</v>
      </c>
      <c r="AL29" s="63">
        <v>1014474</v>
      </c>
      <c r="AM29" s="63">
        <v>3485526</v>
      </c>
      <c r="AN29" s="63">
        <f t="shared" si="46"/>
        <v>4500000</v>
      </c>
      <c r="AO29" s="63">
        <v>672736</v>
      </c>
      <c r="AP29" s="63">
        <v>2431397</v>
      </c>
      <c r="AQ29" s="63">
        <f t="shared" si="47"/>
        <v>3104133</v>
      </c>
      <c r="AR29" s="63">
        <v>107872</v>
      </c>
      <c r="AS29" s="63">
        <v>342564</v>
      </c>
      <c r="AT29" s="63">
        <f t="shared" si="48"/>
        <v>450436</v>
      </c>
      <c r="AU29" s="63">
        <v>673139</v>
      </c>
      <c r="AV29" s="63">
        <v>1829757</v>
      </c>
      <c r="AW29" s="63">
        <f t="shared" si="49"/>
        <v>2502896</v>
      </c>
      <c r="AX29" s="63">
        <v>96016</v>
      </c>
      <c r="AY29" s="63">
        <v>603336</v>
      </c>
      <c r="AZ29" s="63">
        <f t="shared" si="50"/>
        <v>699352</v>
      </c>
      <c r="BA29" s="63">
        <v>49967</v>
      </c>
      <c r="BB29" s="63">
        <v>199757</v>
      </c>
      <c r="BC29" s="63">
        <f t="shared" si="51"/>
        <v>249724</v>
      </c>
      <c r="BD29" s="63"/>
      <c r="BE29" s="63">
        <v>696372</v>
      </c>
      <c r="BF29" s="63">
        <f t="shared" si="52"/>
        <v>696372</v>
      </c>
      <c r="BG29" s="63"/>
      <c r="BH29" s="63">
        <v>5402167</v>
      </c>
      <c r="BI29" s="63">
        <f t="shared" si="53"/>
        <v>5402167</v>
      </c>
      <c r="BJ29" s="63"/>
      <c r="BK29" s="63">
        <v>99476</v>
      </c>
      <c r="BL29" s="63">
        <f t="shared" si="54"/>
        <v>99476</v>
      </c>
      <c r="BM29" s="63">
        <v>1498149</v>
      </c>
      <c r="BN29" s="63">
        <v>3509786</v>
      </c>
      <c r="BO29" s="63">
        <f t="shared" si="55"/>
        <v>5007935</v>
      </c>
      <c r="BP29" s="63"/>
      <c r="BQ29" s="63"/>
      <c r="BR29" s="63">
        <v>1937801</v>
      </c>
      <c r="BS29" s="63">
        <v>49237</v>
      </c>
      <c r="BT29" s="63">
        <v>150932</v>
      </c>
      <c r="BU29" s="63">
        <f t="shared" si="56"/>
        <v>200169</v>
      </c>
      <c r="BV29" s="63">
        <v>1282866</v>
      </c>
      <c r="BW29" s="63">
        <v>7658670</v>
      </c>
      <c r="BX29" s="63">
        <f t="shared" si="57"/>
        <v>8941536</v>
      </c>
      <c r="BY29" s="63">
        <v>200253</v>
      </c>
      <c r="BZ29" s="63">
        <v>509266</v>
      </c>
      <c r="CA29" s="63">
        <f t="shared" si="68"/>
        <v>709519</v>
      </c>
      <c r="CB29" s="63">
        <v>772193</v>
      </c>
      <c r="CC29" s="63">
        <v>3299961</v>
      </c>
      <c r="CD29" s="63">
        <f t="shared" si="59"/>
        <v>4072154</v>
      </c>
      <c r="CE29" s="63"/>
      <c r="CF29" s="63">
        <v>2099093</v>
      </c>
      <c r="CG29" s="63">
        <f t="shared" si="60"/>
        <v>2099093</v>
      </c>
      <c r="CH29" s="63"/>
      <c r="CI29" s="63">
        <v>149919</v>
      </c>
      <c r="CJ29" s="63">
        <f t="shared" si="61"/>
        <v>149919</v>
      </c>
      <c r="CK29" s="63"/>
      <c r="CL29" s="63"/>
      <c r="CM29" s="63">
        <f t="shared" si="62"/>
        <v>0</v>
      </c>
      <c r="CN29" s="63">
        <v>281996</v>
      </c>
      <c r="CO29" s="63">
        <v>1123090</v>
      </c>
      <c r="CP29" s="63">
        <f t="shared" si="63"/>
        <v>1405086</v>
      </c>
      <c r="CQ29" s="63"/>
      <c r="CR29" s="63"/>
      <c r="CS29" s="63">
        <v>2237072</v>
      </c>
      <c r="CT29" s="63">
        <v>541063</v>
      </c>
      <c r="CU29" s="63">
        <v>1467063</v>
      </c>
      <c r="CV29" s="63">
        <f t="shared" si="64"/>
        <v>2008126</v>
      </c>
    </row>
    <row r="30" spans="1:100" ht="15" customHeight="1" x14ac:dyDescent="0.25">
      <c r="A30" s="64" t="s">
        <v>210</v>
      </c>
      <c r="B30" s="63"/>
      <c r="C30" s="63"/>
      <c r="D30" s="63">
        <f t="shared" si="35"/>
        <v>0</v>
      </c>
      <c r="E30" s="63"/>
      <c r="F30" s="63"/>
      <c r="G30" s="63">
        <f t="shared" si="36"/>
        <v>0</v>
      </c>
      <c r="H30" s="63"/>
      <c r="I30" s="63"/>
      <c r="J30" s="63">
        <f t="shared" si="67"/>
        <v>0</v>
      </c>
      <c r="K30" s="63"/>
      <c r="L30" s="63"/>
      <c r="M30" s="63">
        <f t="shared" si="37"/>
        <v>0</v>
      </c>
      <c r="N30" s="63"/>
      <c r="O30" s="63"/>
      <c r="P30" s="63">
        <f t="shared" si="38"/>
        <v>0</v>
      </c>
      <c r="Q30" s="63"/>
      <c r="R30" s="63"/>
      <c r="S30" s="63">
        <f t="shared" si="39"/>
        <v>0</v>
      </c>
      <c r="T30" s="63"/>
      <c r="U30" s="63"/>
      <c r="V30" s="63">
        <f t="shared" si="40"/>
        <v>0</v>
      </c>
      <c r="W30" s="63"/>
      <c r="X30" s="63"/>
      <c r="Y30" s="63">
        <f t="shared" si="41"/>
        <v>0</v>
      </c>
      <c r="Z30" s="63"/>
      <c r="AA30" s="63"/>
      <c r="AB30" s="63">
        <f t="shared" si="42"/>
        <v>0</v>
      </c>
      <c r="AC30" s="63"/>
      <c r="AD30" s="63"/>
      <c r="AE30" s="63">
        <f t="shared" si="43"/>
        <v>0</v>
      </c>
      <c r="AF30" s="63"/>
      <c r="AG30" s="63"/>
      <c r="AH30" s="63">
        <f t="shared" si="44"/>
        <v>0</v>
      </c>
      <c r="AI30" s="63"/>
      <c r="AJ30" s="63"/>
      <c r="AK30" s="63">
        <f t="shared" si="45"/>
        <v>0</v>
      </c>
      <c r="AL30" s="63"/>
      <c r="AM30" s="63"/>
      <c r="AN30" s="63">
        <f t="shared" si="46"/>
        <v>0</v>
      </c>
      <c r="AO30" s="63">
        <v>97518</v>
      </c>
      <c r="AP30" s="63">
        <v>352449</v>
      </c>
      <c r="AQ30" s="63">
        <f t="shared" si="47"/>
        <v>449967</v>
      </c>
      <c r="AR30" s="63"/>
      <c r="AS30" s="63"/>
      <c r="AT30" s="63">
        <f t="shared" si="48"/>
        <v>0</v>
      </c>
      <c r="AU30" s="63"/>
      <c r="AV30" s="63"/>
      <c r="AW30" s="63">
        <f t="shared" si="49"/>
        <v>0</v>
      </c>
      <c r="AX30" s="63"/>
      <c r="AY30" s="63"/>
      <c r="AZ30" s="63">
        <f t="shared" si="50"/>
        <v>0</v>
      </c>
      <c r="BA30" s="63"/>
      <c r="BB30" s="63"/>
      <c r="BC30" s="63">
        <f t="shared" si="51"/>
        <v>0</v>
      </c>
      <c r="BD30" s="63"/>
      <c r="BE30" s="63"/>
      <c r="BF30" s="63">
        <f t="shared" si="52"/>
        <v>0</v>
      </c>
      <c r="BG30" s="63"/>
      <c r="BH30" s="63"/>
      <c r="BI30" s="63">
        <f t="shared" si="53"/>
        <v>0</v>
      </c>
      <c r="BJ30" s="63"/>
      <c r="BK30" s="63"/>
      <c r="BL30" s="63">
        <f t="shared" si="54"/>
        <v>0</v>
      </c>
      <c r="BM30" s="63"/>
      <c r="BN30" s="63"/>
      <c r="BO30" s="63">
        <f t="shared" si="55"/>
        <v>0</v>
      </c>
      <c r="BP30" s="63"/>
      <c r="BQ30" s="63"/>
      <c r="BR30" s="63">
        <f t="shared" si="65"/>
        <v>0</v>
      </c>
      <c r="BS30" s="63"/>
      <c r="BT30" s="63"/>
      <c r="BU30" s="63">
        <f t="shared" si="56"/>
        <v>0</v>
      </c>
      <c r="BV30" s="63"/>
      <c r="BW30" s="63"/>
      <c r="BX30" s="63">
        <f t="shared" si="57"/>
        <v>0</v>
      </c>
      <c r="BY30" s="63"/>
      <c r="BZ30" s="63"/>
      <c r="CA30" s="63">
        <f t="shared" si="68"/>
        <v>0</v>
      </c>
      <c r="CB30" s="63"/>
      <c r="CC30" s="63"/>
      <c r="CD30" s="63">
        <f t="shared" si="59"/>
        <v>0</v>
      </c>
      <c r="CE30" s="63"/>
      <c r="CF30" s="63"/>
      <c r="CG30" s="63">
        <f t="shared" si="60"/>
        <v>0</v>
      </c>
      <c r="CH30" s="63"/>
      <c r="CI30" s="63"/>
      <c r="CJ30" s="63">
        <f t="shared" si="61"/>
        <v>0</v>
      </c>
      <c r="CK30" s="63"/>
      <c r="CL30" s="63"/>
      <c r="CM30" s="63">
        <f t="shared" si="62"/>
        <v>0</v>
      </c>
      <c r="CN30" s="63"/>
      <c r="CO30" s="63"/>
      <c r="CP30" s="63">
        <f t="shared" si="63"/>
        <v>0</v>
      </c>
      <c r="CQ30" s="63"/>
      <c r="CR30" s="63"/>
      <c r="CS30" s="63">
        <f t="shared" si="66"/>
        <v>0</v>
      </c>
      <c r="CT30" s="63"/>
      <c r="CU30" s="63"/>
      <c r="CV30" s="63">
        <f t="shared" si="64"/>
        <v>0</v>
      </c>
    </row>
    <row r="31" spans="1:100" ht="15" customHeight="1" x14ac:dyDescent="0.25">
      <c r="A31" s="64" t="s">
        <v>211</v>
      </c>
      <c r="B31" s="63">
        <v>20173</v>
      </c>
      <c r="C31" s="63">
        <v>29827</v>
      </c>
      <c r="D31" s="63">
        <f t="shared" si="35"/>
        <v>50000</v>
      </c>
      <c r="E31" s="63"/>
      <c r="F31" s="63">
        <v>40000</v>
      </c>
      <c r="G31" s="63">
        <f t="shared" si="36"/>
        <v>40000</v>
      </c>
      <c r="H31" s="63"/>
      <c r="I31" s="63"/>
      <c r="J31" s="63">
        <v>11441300</v>
      </c>
      <c r="K31" s="63"/>
      <c r="L31" s="63"/>
      <c r="M31" s="63">
        <f t="shared" si="37"/>
        <v>0</v>
      </c>
      <c r="N31" s="63">
        <v>38425</v>
      </c>
      <c r="O31" s="63">
        <v>211575</v>
      </c>
      <c r="P31" s="63">
        <f t="shared" si="38"/>
        <v>250000</v>
      </c>
      <c r="Q31" s="63"/>
      <c r="R31" s="63"/>
      <c r="S31" s="63">
        <f t="shared" si="39"/>
        <v>0</v>
      </c>
      <c r="T31" s="63"/>
      <c r="U31" s="63"/>
      <c r="V31" s="63">
        <f t="shared" si="40"/>
        <v>0</v>
      </c>
      <c r="W31" s="63"/>
      <c r="X31" s="63"/>
      <c r="Y31" s="63">
        <f t="shared" si="41"/>
        <v>0</v>
      </c>
      <c r="Z31" s="63">
        <v>332803</v>
      </c>
      <c r="AA31" s="63">
        <v>1316639</v>
      </c>
      <c r="AB31" s="63">
        <f t="shared" si="42"/>
        <v>1649442</v>
      </c>
      <c r="AC31" s="63"/>
      <c r="AD31" s="63"/>
      <c r="AE31" s="63">
        <f t="shared" si="43"/>
        <v>0</v>
      </c>
      <c r="AF31" s="63">
        <v>569635</v>
      </c>
      <c r="AG31" s="63">
        <v>2708532</v>
      </c>
      <c r="AH31" s="63">
        <f t="shared" si="44"/>
        <v>3278167</v>
      </c>
      <c r="AI31" s="63">
        <v>299737</v>
      </c>
      <c r="AJ31" s="63">
        <v>899212</v>
      </c>
      <c r="AK31" s="63">
        <f t="shared" si="45"/>
        <v>1198949</v>
      </c>
      <c r="AL31" s="63"/>
      <c r="AM31" s="63"/>
      <c r="AN31" s="63">
        <f t="shared" si="46"/>
        <v>0</v>
      </c>
      <c r="AO31" s="63"/>
      <c r="AP31" s="63"/>
      <c r="AQ31" s="63">
        <f t="shared" si="47"/>
        <v>0</v>
      </c>
      <c r="AR31" s="63"/>
      <c r="AS31" s="63"/>
      <c r="AT31" s="63">
        <f t="shared" si="48"/>
        <v>0</v>
      </c>
      <c r="AU31" s="63"/>
      <c r="AV31" s="63"/>
      <c r="AW31" s="63">
        <f t="shared" si="49"/>
        <v>0</v>
      </c>
      <c r="AX31" s="63">
        <v>45032</v>
      </c>
      <c r="AY31" s="63">
        <v>282968</v>
      </c>
      <c r="AZ31" s="63">
        <f t="shared" si="50"/>
        <v>328000</v>
      </c>
      <c r="BA31" s="63"/>
      <c r="BB31" s="63"/>
      <c r="BC31" s="63">
        <f t="shared" si="51"/>
        <v>0</v>
      </c>
      <c r="BD31" s="63">
        <v>34849</v>
      </c>
      <c r="BE31" s="63">
        <v>1027051</v>
      </c>
      <c r="BF31" s="63">
        <f t="shared" si="52"/>
        <v>1061900</v>
      </c>
      <c r="BG31" s="63"/>
      <c r="BH31" s="63">
        <v>8936370</v>
      </c>
      <c r="BI31" s="63">
        <f t="shared" si="53"/>
        <v>8936370</v>
      </c>
      <c r="BJ31" s="63">
        <v>122500</v>
      </c>
      <c r="BK31" s="63"/>
      <c r="BL31" s="63">
        <f t="shared" si="54"/>
        <v>122500</v>
      </c>
      <c r="BM31" s="63"/>
      <c r="BN31" s="63"/>
      <c r="BO31" s="63">
        <f t="shared" si="55"/>
        <v>0</v>
      </c>
      <c r="BP31" s="63"/>
      <c r="BQ31" s="63"/>
      <c r="BR31" s="63">
        <f t="shared" si="65"/>
        <v>0</v>
      </c>
      <c r="BS31" s="63">
        <v>14218</v>
      </c>
      <c r="BT31" s="63">
        <v>43582</v>
      </c>
      <c r="BU31" s="63">
        <f t="shared" si="56"/>
        <v>57800</v>
      </c>
      <c r="BV31" s="63">
        <v>487090</v>
      </c>
      <c r="BW31" s="63">
        <v>2907910</v>
      </c>
      <c r="BX31" s="63">
        <f t="shared" si="57"/>
        <v>3395000</v>
      </c>
      <c r="BY31" s="63"/>
      <c r="BZ31" s="63"/>
      <c r="CA31" s="63">
        <f t="shared" si="68"/>
        <v>0</v>
      </c>
      <c r="CB31" s="63">
        <v>64379</v>
      </c>
      <c r="CC31" s="63">
        <v>275121</v>
      </c>
      <c r="CD31" s="63">
        <f t="shared" si="59"/>
        <v>339500</v>
      </c>
      <c r="CE31" s="63"/>
      <c r="CF31" s="63"/>
      <c r="CG31" s="63">
        <f t="shared" si="60"/>
        <v>0</v>
      </c>
      <c r="CH31" s="63"/>
      <c r="CI31" s="63"/>
      <c r="CJ31" s="63">
        <f t="shared" si="61"/>
        <v>0</v>
      </c>
      <c r="CK31" s="63"/>
      <c r="CL31" s="63"/>
      <c r="CM31" s="63">
        <f t="shared" si="62"/>
        <v>0</v>
      </c>
      <c r="CN31" s="63">
        <v>114353</v>
      </c>
      <c r="CO31" s="63">
        <v>455426</v>
      </c>
      <c r="CP31" s="63">
        <f t="shared" si="63"/>
        <v>569779</v>
      </c>
      <c r="CQ31" s="63"/>
      <c r="CR31" s="63"/>
      <c r="CS31" s="63">
        <f t="shared" si="66"/>
        <v>0</v>
      </c>
      <c r="CT31" s="63">
        <v>230045</v>
      </c>
      <c r="CU31" s="63">
        <v>623755</v>
      </c>
      <c r="CV31" s="63">
        <f t="shared" si="64"/>
        <v>853800</v>
      </c>
    </row>
    <row r="32" spans="1:100" ht="15" customHeight="1" x14ac:dyDescent="0.25">
      <c r="A32" s="64" t="s">
        <v>212</v>
      </c>
      <c r="B32" s="63"/>
      <c r="C32" s="63"/>
      <c r="D32" s="63">
        <f t="shared" si="35"/>
        <v>0</v>
      </c>
      <c r="E32" s="63"/>
      <c r="F32" s="63"/>
      <c r="G32" s="63">
        <f t="shared" si="36"/>
        <v>0</v>
      </c>
      <c r="H32" s="63"/>
      <c r="I32" s="63"/>
      <c r="J32" s="63">
        <f t="shared" si="67"/>
        <v>0</v>
      </c>
      <c r="K32" s="63"/>
      <c r="L32" s="63"/>
      <c r="M32" s="63">
        <f t="shared" si="37"/>
        <v>0</v>
      </c>
      <c r="N32" s="63"/>
      <c r="O32" s="63"/>
      <c r="P32" s="63">
        <f t="shared" si="38"/>
        <v>0</v>
      </c>
      <c r="Q32" s="63">
        <v>84354</v>
      </c>
      <c r="R32" s="63">
        <v>760346</v>
      </c>
      <c r="S32" s="63">
        <f t="shared" si="39"/>
        <v>844700</v>
      </c>
      <c r="T32" s="63"/>
      <c r="U32" s="63"/>
      <c r="V32" s="63">
        <f t="shared" si="40"/>
        <v>0</v>
      </c>
      <c r="W32" s="63"/>
      <c r="X32" s="63"/>
      <c r="Y32" s="63">
        <f t="shared" si="41"/>
        <v>0</v>
      </c>
      <c r="Z32" s="63"/>
      <c r="AA32" s="63"/>
      <c r="AB32" s="63">
        <f t="shared" si="42"/>
        <v>0</v>
      </c>
      <c r="AC32" s="63"/>
      <c r="AD32" s="63"/>
      <c r="AE32" s="63">
        <f t="shared" si="43"/>
        <v>0</v>
      </c>
      <c r="AF32" s="63"/>
      <c r="AG32" s="63"/>
      <c r="AH32" s="63">
        <f t="shared" si="44"/>
        <v>0</v>
      </c>
      <c r="AI32" s="63"/>
      <c r="AJ32" s="63"/>
      <c r="AK32" s="63">
        <f t="shared" si="45"/>
        <v>0</v>
      </c>
      <c r="AL32" s="63"/>
      <c r="AM32" s="63"/>
      <c r="AN32" s="63">
        <f t="shared" si="46"/>
        <v>0</v>
      </c>
      <c r="AO32" s="63"/>
      <c r="AP32" s="63"/>
      <c r="AQ32" s="63">
        <f t="shared" si="47"/>
        <v>0</v>
      </c>
      <c r="AR32" s="63"/>
      <c r="AS32" s="63"/>
      <c r="AT32" s="63">
        <f t="shared" si="48"/>
        <v>0</v>
      </c>
      <c r="AU32" s="63"/>
      <c r="AV32" s="63"/>
      <c r="AW32" s="63">
        <f t="shared" si="49"/>
        <v>0</v>
      </c>
      <c r="AX32" s="63"/>
      <c r="AY32" s="63"/>
      <c r="AZ32" s="63">
        <f t="shared" si="50"/>
        <v>0</v>
      </c>
      <c r="BA32" s="63"/>
      <c r="BB32" s="63"/>
      <c r="BC32" s="63">
        <f t="shared" si="51"/>
        <v>0</v>
      </c>
      <c r="BD32" s="63"/>
      <c r="BE32" s="63"/>
      <c r="BF32" s="63">
        <f t="shared" si="52"/>
        <v>0</v>
      </c>
      <c r="BG32" s="63"/>
      <c r="BH32" s="63"/>
      <c r="BI32" s="63">
        <f>BH32+BG32</f>
        <v>0</v>
      </c>
      <c r="BJ32" s="63"/>
      <c r="BK32" s="63"/>
      <c r="BL32" s="63">
        <f t="shared" si="54"/>
        <v>0</v>
      </c>
      <c r="BM32" s="63"/>
      <c r="BN32" s="63"/>
      <c r="BO32" s="63">
        <f t="shared" si="55"/>
        <v>0</v>
      </c>
      <c r="BP32" s="63"/>
      <c r="BQ32" s="63"/>
      <c r="BR32" s="63">
        <f t="shared" si="65"/>
        <v>0</v>
      </c>
      <c r="BS32" s="63"/>
      <c r="BT32" s="63"/>
      <c r="BU32" s="63">
        <f t="shared" si="56"/>
        <v>0</v>
      </c>
      <c r="BV32" s="63"/>
      <c r="BW32" s="63"/>
      <c r="BX32" s="63">
        <f t="shared" si="57"/>
        <v>0</v>
      </c>
      <c r="BY32" s="63"/>
      <c r="BZ32" s="63"/>
      <c r="CA32" s="63">
        <f t="shared" si="68"/>
        <v>0</v>
      </c>
      <c r="CB32" s="63"/>
      <c r="CC32" s="63"/>
      <c r="CD32" s="63">
        <f t="shared" si="59"/>
        <v>0</v>
      </c>
      <c r="CE32" s="63"/>
      <c r="CF32" s="63"/>
      <c r="CG32" s="63">
        <f t="shared" si="60"/>
        <v>0</v>
      </c>
      <c r="CH32" s="63"/>
      <c r="CI32" s="63"/>
      <c r="CJ32" s="63">
        <f t="shared" si="61"/>
        <v>0</v>
      </c>
      <c r="CK32" s="63"/>
      <c r="CL32" s="63"/>
      <c r="CM32" s="63">
        <f t="shared" si="62"/>
        <v>0</v>
      </c>
      <c r="CN32" s="63"/>
      <c r="CO32" s="63"/>
      <c r="CP32" s="63">
        <f t="shared" si="63"/>
        <v>0</v>
      </c>
      <c r="CQ32" s="63"/>
      <c r="CR32" s="63"/>
      <c r="CS32" s="63">
        <f t="shared" si="66"/>
        <v>0</v>
      </c>
      <c r="CT32" s="63"/>
      <c r="CU32" s="63"/>
      <c r="CV32" s="63">
        <f t="shared" si="64"/>
        <v>0</v>
      </c>
    </row>
    <row r="33" spans="1:100" ht="15" customHeight="1" x14ac:dyDescent="0.25">
      <c r="A33" s="64" t="s">
        <v>213</v>
      </c>
      <c r="B33" s="63"/>
      <c r="C33" s="63"/>
      <c r="D33" s="63">
        <f t="shared" si="35"/>
        <v>0</v>
      </c>
      <c r="E33" s="63"/>
      <c r="F33" s="63"/>
      <c r="G33" s="63">
        <f t="shared" si="36"/>
        <v>0</v>
      </c>
      <c r="H33" s="63"/>
      <c r="I33" s="63"/>
      <c r="J33" s="63">
        <f t="shared" si="67"/>
        <v>0</v>
      </c>
      <c r="K33" s="63"/>
      <c r="L33" s="63"/>
      <c r="M33" s="63">
        <f t="shared" si="37"/>
        <v>0</v>
      </c>
      <c r="N33" s="63"/>
      <c r="O33" s="63"/>
      <c r="P33" s="63">
        <f t="shared" si="38"/>
        <v>0</v>
      </c>
      <c r="Q33" s="63"/>
      <c r="R33" s="63"/>
      <c r="S33" s="63">
        <f t="shared" si="39"/>
        <v>0</v>
      </c>
      <c r="T33" s="63"/>
      <c r="U33" s="63"/>
      <c r="V33" s="63">
        <f t="shared" si="40"/>
        <v>0</v>
      </c>
      <c r="W33" s="63"/>
      <c r="X33" s="63"/>
      <c r="Y33" s="63">
        <f t="shared" si="41"/>
        <v>0</v>
      </c>
      <c r="Z33" s="63"/>
      <c r="AA33" s="63"/>
      <c r="AB33" s="63">
        <f t="shared" si="42"/>
        <v>0</v>
      </c>
      <c r="AC33" s="63"/>
      <c r="AD33" s="63"/>
      <c r="AE33" s="63">
        <f t="shared" si="43"/>
        <v>0</v>
      </c>
      <c r="AF33" s="63"/>
      <c r="AG33" s="63"/>
      <c r="AH33" s="63">
        <f t="shared" si="44"/>
        <v>0</v>
      </c>
      <c r="AI33" s="63"/>
      <c r="AJ33" s="63"/>
      <c r="AK33" s="63">
        <f t="shared" si="45"/>
        <v>0</v>
      </c>
      <c r="AL33" s="63"/>
      <c r="AM33" s="63"/>
      <c r="AN33" s="63">
        <f t="shared" si="46"/>
        <v>0</v>
      </c>
      <c r="AO33" s="63"/>
      <c r="AP33" s="63"/>
      <c r="AQ33" s="63">
        <f t="shared" si="47"/>
        <v>0</v>
      </c>
      <c r="AR33" s="63"/>
      <c r="AS33" s="63"/>
      <c r="AT33" s="63">
        <f t="shared" si="48"/>
        <v>0</v>
      </c>
      <c r="AU33" s="63"/>
      <c r="AV33" s="63"/>
      <c r="AW33" s="63">
        <f t="shared" si="49"/>
        <v>0</v>
      </c>
      <c r="AX33" s="63"/>
      <c r="AY33" s="63"/>
      <c r="AZ33" s="63">
        <f t="shared" si="50"/>
        <v>0</v>
      </c>
      <c r="BA33" s="63"/>
      <c r="BB33" s="63"/>
      <c r="BC33" s="63">
        <f t="shared" si="51"/>
        <v>0</v>
      </c>
      <c r="BD33" s="63"/>
      <c r="BE33" s="63"/>
      <c r="BF33" s="63">
        <f t="shared" si="52"/>
        <v>0</v>
      </c>
      <c r="BG33" s="63"/>
      <c r="BH33" s="63"/>
      <c r="BI33" s="63">
        <f t="shared" si="53"/>
        <v>0</v>
      </c>
      <c r="BJ33" s="63"/>
      <c r="BK33" s="63"/>
      <c r="BL33" s="63">
        <f t="shared" si="54"/>
        <v>0</v>
      </c>
      <c r="BM33" s="63"/>
      <c r="BN33" s="63"/>
      <c r="BO33" s="63">
        <f t="shared" si="55"/>
        <v>0</v>
      </c>
      <c r="BP33" s="63"/>
      <c r="BQ33" s="63"/>
      <c r="BR33" s="63">
        <f t="shared" si="65"/>
        <v>0</v>
      </c>
      <c r="BS33" s="63"/>
      <c r="BT33" s="63"/>
      <c r="BU33" s="63">
        <f t="shared" si="56"/>
        <v>0</v>
      </c>
      <c r="BV33" s="63"/>
      <c r="BW33" s="63"/>
      <c r="BX33" s="63">
        <f t="shared" si="57"/>
        <v>0</v>
      </c>
      <c r="BY33" s="63"/>
      <c r="BZ33" s="63"/>
      <c r="CA33" s="63">
        <f t="shared" si="68"/>
        <v>0</v>
      </c>
      <c r="CB33" s="63"/>
      <c r="CC33" s="63"/>
      <c r="CD33" s="63">
        <f t="shared" si="59"/>
        <v>0</v>
      </c>
      <c r="CE33" s="63"/>
      <c r="CF33" s="63"/>
      <c r="CG33" s="63">
        <f t="shared" si="60"/>
        <v>0</v>
      </c>
      <c r="CH33" s="63"/>
      <c r="CI33" s="63"/>
      <c r="CJ33" s="63">
        <f t="shared" si="61"/>
        <v>0</v>
      </c>
      <c r="CK33" s="63"/>
      <c r="CL33" s="63"/>
      <c r="CM33" s="63">
        <f t="shared" si="62"/>
        <v>0</v>
      </c>
      <c r="CN33" s="63"/>
      <c r="CO33" s="63"/>
      <c r="CP33" s="63">
        <f t="shared" si="63"/>
        <v>0</v>
      </c>
      <c r="CQ33" s="63"/>
      <c r="CR33" s="63"/>
      <c r="CS33" s="63">
        <f t="shared" si="66"/>
        <v>0</v>
      </c>
      <c r="CT33" s="63"/>
      <c r="CU33" s="63"/>
      <c r="CV33" s="63">
        <f t="shared" si="64"/>
        <v>0</v>
      </c>
    </row>
    <row r="34" spans="1:100" ht="15" customHeight="1" x14ac:dyDescent="0.25">
      <c r="A34" s="64" t="s">
        <v>204</v>
      </c>
      <c r="B34" s="63">
        <f>20173-10086</f>
        <v>10087</v>
      </c>
      <c r="C34" s="63">
        <f>29827-14914</f>
        <v>14913</v>
      </c>
      <c r="D34" s="63">
        <f t="shared" si="35"/>
        <v>25000</v>
      </c>
      <c r="E34" s="63"/>
      <c r="F34" s="63">
        <f>149784+49973</f>
        <v>199757</v>
      </c>
      <c r="G34" s="63">
        <f t="shared" si="36"/>
        <v>199757</v>
      </c>
      <c r="H34" s="63"/>
      <c r="I34" s="63"/>
      <c r="J34" s="63">
        <v>1308035</v>
      </c>
      <c r="K34" s="63">
        <v>1400451</v>
      </c>
      <c r="L34" s="63">
        <v>8404327</v>
      </c>
      <c r="M34" s="63">
        <f t="shared" si="37"/>
        <v>9804778</v>
      </c>
      <c r="N34" s="63">
        <v>567635</v>
      </c>
      <c r="O34" s="63">
        <v>3125503</v>
      </c>
      <c r="P34" s="63">
        <f t="shared" si="38"/>
        <v>3693138</v>
      </c>
      <c r="Q34" s="63">
        <v>171875</v>
      </c>
      <c r="R34" s="63">
        <v>1549227</v>
      </c>
      <c r="S34" s="63">
        <f t="shared" si="39"/>
        <v>1721102</v>
      </c>
      <c r="T34" s="63">
        <v>199778</v>
      </c>
      <c r="U34" s="63"/>
      <c r="V34" s="63">
        <f t="shared" si="40"/>
        <v>199778</v>
      </c>
      <c r="W34" s="63">
        <v>455856.28</v>
      </c>
      <c r="X34" s="63">
        <v>604274.6</v>
      </c>
      <c r="Y34" s="63">
        <f t="shared" si="41"/>
        <v>1060130.8799999999</v>
      </c>
      <c r="Z34" s="63">
        <v>151273</v>
      </c>
      <c r="AA34" s="63">
        <v>598467</v>
      </c>
      <c r="AB34" s="63">
        <f t="shared" si="42"/>
        <v>749740</v>
      </c>
      <c r="AC34" s="63">
        <v>100016</v>
      </c>
      <c r="AD34" s="63">
        <v>2501530</v>
      </c>
      <c r="AE34" s="63">
        <f t="shared" si="43"/>
        <v>2601546</v>
      </c>
      <c r="AF34" s="63">
        <v>936560</v>
      </c>
      <c r="AG34" s="63">
        <v>4453204</v>
      </c>
      <c r="AH34" s="63">
        <f t="shared" si="44"/>
        <v>5389764</v>
      </c>
      <c r="AI34" s="63">
        <v>156303</v>
      </c>
      <c r="AJ34" s="63">
        <v>468908</v>
      </c>
      <c r="AK34" s="63">
        <f t="shared" si="45"/>
        <v>625211</v>
      </c>
      <c r="AL34" s="63">
        <v>619956</v>
      </c>
      <c r="AM34" s="63">
        <v>2130044</v>
      </c>
      <c r="AN34" s="63">
        <f t="shared" si="46"/>
        <v>2750000</v>
      </c>
      <c r="AO34" s="63">
        <v>143441</v>
      </c>
      <c r="AP34" s="63">
        <v>518423</v>
      </c>
      <c r="AQ34" s="63">
        <f t="shared" si="47"/>
        <v>661864</v>
      </c>
      <c r="AR34" s="63"/>
      <c r="AS34" s="63"/>
      <c r="AT34" s="63">
        <f t="shared" si="48"/>
        <v>0</v>
      </c>
      <c r="AU34" s="63">
        <v>215532</v>
      </c>
      <c r="AV34" s="63">
        <v>585870</v>
      </c>
      <c r="AW34" s="63">
        <f t="shared" si="49"/>
        <v>801402</v>
      </c>
      <c r="AX34" s="63"/>
      <c r="AY34" s="63"/>
      <c r="AZ34" s="63">
        <f t="shared" si="50"/>
        <v>0</v>
      </c>
      <c r="BA34" s="63">
        <v>250797</v>
      </c>
      <c r="BB34" s="63">
        <v>200094</v>
      </c>
      <c r="BC34" s="63">
        <f t="shared" si="51"/>
        <v>450891</v>
      </c>
      <c r="BD34" s="63">
        <v>49985</v>
      </c>
      <c r="BE34" s="63">
        <v>199783</v>
      </c>
      <c r="BF34" s="63">
        <f t="shared" si="52"/>
        <v>249768</v>
      </c>
      <c r="BG34" s="63"/>
      <c r="BH34" s="63">
        <v>3365491</v>
      </c>
      <c r="BI34" s="63">
        <f t="shared" si="53"/>
        <v>3365491</v>
      </c>
      <c r="BJ34" s="63"/>
      <c r="BK34" s="63"/>
      <c r="BL34" s="63">
        <f t="shared" si="54"/>
        <v>0</v>
      </c>
      <c r="BM34" s="63">
        <v>3692019</v>
      </c>
      <c r="BN34" s="63">
        <v>8649472</v>
      </c>
      <c r="BO34" s="63">
        <f t="shared" si="55"/>
        <v>12341491</v>
      </c>
      <c r="BP34" s="63"/>
      <c r="BQ34" s="63"/>
      <c r="BR34" s="63">
        <v>6104612</v>
      </c>
      <c r="BS34" s="63">
        <v>24664</v>
      </c>
      <c r="BT34" s="63">
        <v>75604</v>
      </c>
      <c r="BU34" s="63">
        <f t="shared" si="56"/>
        <v>100268</v>
      </c>
      <c r="BV34" s="63">
        <v>118888</v>
      </c>
      <c r="BW34" s="63">
        <v>709758</v>
      </c>
      <c r="BX34" s="63">
        <f t="shared" si="57"/>
        <v>828646</v>
      </c>
      <c r="BY34" s="63">
        <v>150092</v>
      </c>
      <c r="BZ34" s="63">
        <v>799948</v>
      </c>
      <c r="CA34" s="63">
        <f t="shared" si="68"/>
        <v>950040</v>
      </c>
      <c r="CB34" s="63">
        <v>274686</v>
      </c>
      <c r="CC34" s="63">
        <v>1173870</v>
      </c>
      <c r="CD34" s="63">
        <f t="shared" si="59"/>
        <v>1448556</v>
      </c>
      <c r="CE34" s="63"/>
      <c r="CF34" s="63">
        <v>649960</v>
      </c>
      <c r="CG34" s="63">
        <f t="shared" si="60"/>
        <v>649960</v>
      </c>
      <c r="CH34" s="63"/>
      <c r="CI34" s="63">
        <v>8824043</v>
      </c>
      <c r="CJ34" s="63">
        <f t="shared" si="61"/>
        <v>8824043</v>
      </c>
      <c r="CK34" s="63">
        <v>329641</v>
      </c>
      <c r="CL34" s="63">
        <v>457141</v>
      </c>
      <c r="CM34" s="63">
        <f t="shared" si="62"/>
        <v>786782</v>
      </c>
      <c r="CN34" s="63">
        <v>547908</v>
      </c>
      <c r="CO34" s="63">
        <v>2182122</v>
      </c>
      <c r="CP34" s="63">
        <f t="shared" si="63"/>
        <v>2730030</v>
      </c>
      <c r="CQ34" s="63"/>
      <c r="CR34" s="63"/>
      <c r="CS34" s="63">
        <v>10156647</v>
      </c>
      <c r="CT34" s="63">
        <v>551927</v>
      </c>
      <c r="CU34" s="63">
        <v>1496522</v>
      </c>
      <c r="CV34" s="63">
        <f t="shared" si="64"/>
        <v>2048449</v>
      </c>
    </row>
    <row r="35" spans="1:100" x14ac:dyDescent="0.25">
      <c r="A35" s="64" t="s">
        <v>205</v>
      </c>
      <c r="B35" s="63">
        <v>43668</v>
      </c>
      <c r="C35" s="63">
        <v>64566</v>
      </c>
      <c r="D35" s="63">
        <f t="shared" si="35"/>
        <v>108234</v>
      </c>
      <c r="E35" s="63"/>
      <c r="F35" s="63"/>
      <c r="G35" s="63">
        <f t="shared" si="36"/>
        <v>0</v>
      </c>
      <c r="H35" s="63"/>
      <c r="I35" s="63"/>
      <c r="J35" s="63">
        <f t="shared" ref="J35" si="69">I35+H35</f>
        <v>0</v>
      </c>
      <c r="K35" s="63"/>
      <c r="L35" s="63"/>
      <c r="M35" s="63">
        <f t="shared" si="37"/>
        <v>0</v>
      </c>
      <c r="N35" s="63">
        <f>-29203+46110</f>
        <v>16907</v>
      </c>
      <c r="O35" s="63">
        <f>-160797+253890</f>
        <v>93093</v>
      </c>
      <c r="P35" s="63">
        <f t="shared" si="38"/>
        <v>110000</v>
      </c>
      <c r="Q35" s="63">
        <v>24439</v>
      </c>
      <c r="R35" s="63">
        <v>220288</v>
      </c>
      <c r="S35" s="63">
        <f t="shared" si="39"/>
        <v>244727</v>
      </c>
      <c r="T35" s="63"/>
      <c r="U35" s="63"/>
      <c r="V35" s="63">
        <f t="shared" si="40"/>
        <v>0</v>
      </c>
      <c r="W35" s="63">
        <v>193400.01</v>
      </c>
      <c r="X35" s="63">
        <v>256367.46</v>
      </c>
      <c r="Y35" s="63">
        <f t="shared" si="41"/>
        <v>449767.47</v>
      </c>
      <c r="Z35" s="63">
        <f>-47415+50442</f>
        <v>3027</v>
      </c>
      <c r="AA35" s="63">
        <f>-187585+199558</f>
        <v>11973</v>
      </c>
      <c r="AB35" s="63">
        <f t="shared" si="42"/>
        <v>15000</v>
      </c>
      <c r="AC35" s="63"/>
      <c r="AD35" s="63"/>
      <c r="AE35" s="63">
        <f t="shared" si="43"/>
        <v>0</v>
      </c>
      <c r="AF35" s="63">
        <v>6516</v>
      </c>
      <c r="AG35" s="63">
        <v>30984</v>
      </c>
      <c r="AH35" s="63">
        <f t="shared" si="44"/>
        <v>37500</v>
      </c>
      <c r="AI35" s="63">
        <f>6250+42496</f>
        <v>48746</v>
      </c>
      <c r="AJ35" s="63">
        <f>18750+127489</f>
        <v>146239</v>
      </c>
      <c r="AK35" s="63">
        <f t="shared" si="45"/>
        <v>194985</v>
      </c>
      <c r="AL35" s="63"/>
      <c r="AM35" s="63"/>
      <c r="AN35" s="63">
        <f t="shared" si="46"/>
        <v>0</v>
      </c>
      <c r="AO35" s="63">
        <f>249243-88856</f>
        <v>160387</v>
      </c>
      <c r="AP35" s="63">
        <f>900816-321144</f>
        <v>579672</v>
      </c>
      <c r="AQ35" s="63">
        <f t="shared" si="47"/>
        <v>740059</v>
      </c>
      <c r="AR35" s="63"/>
      <c r="AS35" s="63"/>
      <c r="AT35" s="63">
        <f t="shared" si="48"/>
        <v>0</v>
      </c>
      <c r="AU35" s="63"/>
      <c r="AV35" s="63"/>
      <c r="AW35" s="63">
        <f t="shared" si="49"/>
        <v>0</v>
      </c>
      <c r="AX35" s="63">
        <v>20534</v>
      </c>
      <c r="AY35" s="63">
        <v>129030</v>
      </c>
      <c r="AZ35" s="63">
        <f t="shared" si="50"/>
        <v>149564</v>
      </c>
      <c r="BA35" s="63">
        <v>42602</v>
      </c>
      <c r="BB35" s="63">
        <v>84783</v>
      </c>
      <c r="BC35" s="63">
        <f t="shared" si="51"/>
        <v>127385</v>
      </c>
      <c r="BD35" s="63"/>
      <c r="BE35" s="63">
        <v>100000</v>
      </c>
      <c r="BF35" s="63">
        <f t="shared" si="52"/>
        <v>100000</v>
      </c>
      <c r="BG35" s="63"/>
      <c r="BH35" s="63"/>
      <c r="BI35" s="63">
        <f t="shared" si="53"/>
        <v>0</v>
      </c>
      <c r="BJ35" s="63"/>
      <c r="BK35" s="63">
        <v>24799</v>
      </c>
      <c r="BL35" s="63">
        <f t="shared" si="54"/>
        <v>24799</v>
      </c>
      <c r="BM35" s="63">
        <v>1443</v>
      </c>
      <c r="BN35" s="63">
        <v>3380</v>
      </c>
      <c r="BO35" s="63">
        <f t="shared" si="55"/>
        <v>4823</v>
      </c>
      <c r="BP35" s="63"/>
      <c r="BQ35" s="63"/>
      <c r="BR35" s="63">
        <f t="shared" si="65"/>
        <v>0</v>
      </c>
      <c r="BS35" s="63"/>
      <c r="BT35" s="63"/>
      <c r="BU35" s="63">
        <f t="shared" si="56"/>
        <v>0</v>
      </c>
      <c r="BV35" s="63">
        <f>251978-40523</f>
        <v>211455</v>
      </c>
      <c r="BW35" s="63">
        <f>-241919+1504361</f>
        <v>1262442</v>
      </c>
      <c r="BX35" s="63">
        <f t="shared" si="57"/>
        <v>1473897</v>
      </c>
      <c r="BY35" s="63"/>
      <c r="BZ35" s="63"/>
      <c r="CA35" s="63">
        <v>0</v>
      </c>
      <c r="CB35" s="63">
        <v>115419</v>
      </c>
      <c r="CC35" s="63">
        <v>493242</v>
      </c>
      <c r="CD35" s="63">
        <f t="shared" si="59"/>
        <v>608661</v>
      </c>
      <c r="CE35" s="63"/>
      <c r="CF35" s="63"/>
      <c r="CG35" s="63">
        <f t="shared" si="60"/>
        <v>0</v>
      </c>
      <c r="CH35" s="63"/>
      <c r="CI35" s="63"/>
      <c r="CJ35" s="63">
        <f t="shared" si="61"/>
        <v>0</v>
      </c>
      <c r="CK35" s="63"/>
      <c r="CL35" s="63"/>
      <c r="CM35" s="63">
        <f t="shared" si="62"/>
        <v>0</v>
      </c>
      <c r="CN35" s="63">
        <v>937942</v>
      </c>
      <c r="CO35" s="63">
        <v>3735492</v>
      </c>
      <c r="CP35" s="63">
        <f t="shared" si="63"/>
        <v>4673434</v>
      </c>
      <c r="CQ35" s="63"/>
      <c r="CR35" s="63"/>
      <c r="CS35" s="63">
        <v>547141</v>
      </c>
      <c r="CT35" s="63">
        <v>16167</v>
      </c>
      <c r="CU35" s="63">
        <v>43835</v>
      </c>
      <c r="CV35" s="63">
        <f t="shared" si="64"/>
        <v>60002</v>
      </c>
    </row>
    <row r="36" spans="1:100" s="66" customFormat="1" x14ac:dyDescent="0.25">
      <c r="A36" s="62" t="s">
        <v>208</v>
      </c>
      <c r="B36" s="65">
        <f>SUM(B22:B35)</f>
        <v>523962</v>
      </c>
      <c r="C36" s="65">
        <f t="shared" ref="C36:BN36" si="70">SUM(C22:C35)</f>
        <v>774731</v>
      </c>
      <c r="D36" s="65">
        <f t="shared" si="70"/>
        <v>1298693</v>
      </c>
      <c r="E36" s="65">
        <f t="shared" si="70"/>
        <v>99668</v>
      </c>
      <c r="F36" s="65">
        <f t="shared" si="70"/>
        <v>1329528</v>
      </c>
      <c r="G36" s="65">
        <f t="shared" si="70"/>
        <v>1429196</v>
      </c>
      <c r="H36" s="65">
        <f t="shared" si="70"/>
        <v>0</v>
      </c>
      <c r="I36" s="65">
        <f t="shared" si="70"/>
        <v>0</v>
      </c>
      <c r="J36" s="65">
        <f t="shared" si="70"/>
        <v>28624755</v>
      </c>
      <c r="K36" s="65">
        <f t="shared" si="70"/>
        <v>2030242</v>
      </c>
      <c r="L36" s="65">
        <f t="shared" si="70"/>
        <v>14876448</v>
      </c>
      <c r="M36" s="65">
        <f t="shared" si="70"/>
        <v>16906690</v>
      </c>
      <c r="N36" s="65">
        <f t="shared" si="70"/>
        <v>1351161</v>
      </c>
      <c r="O36" s="65">
        <f t="shared" si="70"/>
        <v>7439737</v>
      </c>
      <c r="P36" s="65">
        <f t="shared" si="70"/>
        <v>8790898</v>
      </c>
      <c r="Q36" s="65">
        <f t="shared" si="70"/>
        <v>911303</v>
      </c>
      <c r="R36" s="65">
        <f t="shared" si="70"/>
        <v>8214229</v>
      </c>
      <c r="S36" s="65">
        <f t="shared" si="70"/>
        <v>9125532</v>
      </c>
      <c r="T36" s="65">
        <f t="shared" si="70"/>
        <v>247385</v>
      </c>
      <c r="U36" s="65">
        <f t="shared" si="70"/>
        <v>683272</v>
      </c>
      <c r="V36" s="65">
        <f t="shared" si="70"/>
        <v>930657</v>
      </c>
      <c r="W36" s="65">
        <f t="shared" si="70"/>
        <v>5751341.6200000001</v>
      </c>
      <c r="X36" s="65">
        <f t="shared" si="70"/>
        <v>7623871.4799999995</v>
      </c>
      <c r="Y36" s="65">
        <f t="shared" si="70"/>
        <v>13375213.1</v>
      </c>
      <c r="Z36" s="65">
        <f t="shared" si="70"/>
        <v>857121</v>
      </c>
      <c r="AA36" s="65">
        <f t="shared" si="70"/>
        <v>3390947</v>
      </c>
      <c r="AB36" s="65">
        <f t="shared" si="70"/>
        <v>4248068</v>
      </c>
      <c r="AC36" s="65">
        <f t="shared" si="70"/>
        <v>498396</v>
      </c>
      <c r="AD36" s="65">
        <f t="shared" si="70"/>
        <v>4490003</v>
      </c>
      <c r="AE36" s="65">
        <f t="shared" si="70"/>
        <v>4988399</v>
      </c>
      <c r="AF36" s="65">
        <f t="shared" si="70"/>
        <v>2648866</v>
      </c>
      <c r="AG36" s="65">
        <f t="shared" si="70"/>
        <v>12594974</v>
      </c>
      <c r="AH36" s="65">
        <f t="shared" si="70"/>
        <v>15243840</v>
      </c>
      <c r="AI36" s="65">
        <f t="shared" si="70"/>
        <v>1105847</v>
      </c>
      <c r="AJ36" s="65">
        <f t="shared" si="70"/>
        <v>3317542</v>
      </c>
      <c r="AK36" s="65">
        <f t="shared" si="70"/>
        <v>4423389</v>
      </c>
      <c r="AL36" s="65">
        <f t="shared" si="70"/>
        <v>7024603</v>
      </c>
      <c r="AM36" s="65">
        <f t="shared" si="70"/>
        <v>23093851</v>
      </c>
      <c r="AN36" s="65">
        <f t="shared" si="70"/>
        <v>30118454</v>
      </c>
      <c r="AO36" s="65">
        <f t="shared" si="70"/>
        <v>3961170</v>
      </c>
      <c r="AP36" s="65">
        <f t="shared" si="70"/>
        <v>14316441</v>
      </c>
      <c r="AQ36" s="65">
        <f t="shared" si="70"/>
        <v>18277611</v>
      </c>
      <c r="AR36" s="65">
        <f t="shared" si="70"/>
        <v>201426</v>
      </c>
      <c r="AS36" s="65">
        <f t="shared" si="70"/>
        <v>639658</v>
      </c>
      <c r="AT36" s="65">
        <f t="shared" si="70"/>
        <v>841084</v>
      </c>
      <c r="AU36" s="65">
        <f t="shared" si="70"/>
        <v>1308156</v>
      </c>
      <c r="AV36" s="65">
        <f t="shared" si="70"/>
        <v>3536053</v>
      </c>
      <c r="AW36" s="65">
        <f t="shared" si="70"/>
        <v>4844209</v>
      </c>
      <c r="AX36" s="65">
        <f t="shared" si="70"/>
        <v>262142</v>
      </c>
      <c r="AY36" s="65">
        <f t="shared" si="70"/>
        <v>1647222</v>
      </c>
      <c r="AZ36" s="65">
        <f t="shared" si="70"/>
        <v>1909364</v>
      </c>
      <c r="BA36" s="65">
        <f t="shared" si="70"/>
        <v>512297</v>
      </c>
      <c r="BB36" s="65">
        <f t="shared" si="70"/>
        <v>629062</v>
      </c>
      <c r="BC36" s="65">
        <f t="shared" si="70"/>
        <v>1141359</v>
      </c>
      <c r="BD36" s="65">
        <f t="shared" si="70"/>
        <v>320149</v>
      </c>
      <c r="BE36" s="65">
        <f t="shared" si="70"/>
        <v>2608831</v>
      </c>
      <c r="BF36" s="65">
        <f t="shared" si="70"/>
        <v>2928980</v>
      </c>
      <c r="BG36" s="65">
        <f t="shared" si="70"/>
        <v>0</v>
      </c>
      <c r="BH36" s="65">
        <f t="shared" si="70"/>
        <v>34325206</v>
      </c>
      <c r="BI36" s="65">
        <f t="shared" si="70"/>
        <v>34325206</v>
      </c>
      <c r="BJ36" s="65">
        <f t="shared" si="70"/>
        <v>166786</v>
      </c>
      <c r="BK36" s="65">
        <f t="shared" si="70"/>
        <v>249628</v>
      </c>
      <c r="BL36" s="65">
        <f t="shared" si="70"/>
        <v>416414</v>
      </c>
      <c r="BM36" s="65">
        <f t="shared" si="70"/>
        <v>7003823</v>
      </c>
      <c r="BN36" s="65">
        <f t="shared" si="70"/>
        <v>16408193</v>
      </c>
      <c r="BO36" s="65">
        <f t="shared" ref="BO36:CV36" si="71">SUM(BO22:BO35)</f>
        <v>23412016</v>
      </c>
      <c r="BP36" s="65">
        <f t="shared" si="71"/>
        <v>0</v>
      </c>
      <c r="BQ36" s="65">
        <f t="shared" si="71"/>
        <v>0</v>
      </c>
      <c r="BR36" s="65">
        <f t="shared" si="71"/>
        <v>23896915</v>
      </c>
      <c r="BS36" s="65">
        <f t="shared" si="71"/>
        <v>341030</v>
      </c>
      <c r="BT36" s="65">
        <f t="shared" si="71"/>
        <v>1045392</v>
      </c>
      <c r="BU36" s="65">
        <f t="shared" si="71"/>
        <v>1386422</v>
      </c>
      <c r="BV36" s="65">
        <f t="shared" si="71"/>
        <v>2549722</v>
      </c>
      <c r="BW36" s="65">
        <f t="shared" si="71"/>
        <v>15221821</v>
      </c>
      <c r="BX36" s="65">
        <f t="shared" si="71"/>
        <v>17771543</v>
      </c>
      <c r="BY36" s="65">
        <f t="shared" si="71"/>
        <v>1883093</v>
      </c>
      <c r="BZ36" s="65">
        <f t="shared" si="71"/>
        <v>1519530</v>
      </c>
      <c r="CA36" s="65">
        <f t="shared" si="71"/>
        <v>3402623</v>
      </c>
      <c r="CB36" s="65">
        <f t="shared" si="71"/>
        <v>1954638</v>
      </c>
      <c r="CC36" s="65">
        <f t="shared" si="71"/>
        <v>8353128</v>
      </c>
      <c r="CD36" s="65">
        <f t="shared" si="71"/>
        <v>10307766</v>
      </c>
      <c r="CE36" s="65">
        <f t="shared" si="71"/>
        <v>0</v>
      </c>
      <c r="CF36" s="65">
        <f t="shared" si="71"/>
        <v>7002282</v>
      </c>
      <c r="CG36" s="65">
        <f t="shared" si="71"/>
        <v>7002282</v>
      </c>
      <c r="CH36" s="65">
        <f t="shared" si="71"/>
        <v>1782797</v>
      </c>
      <c r="CI36" s="65">
        <f t="shared" si="71"/>
        <v>31153105</v>
      </c>
      <c r="CJ36" s="65">
        <f t="shared" si="71"/>
        <v>32935902</v>
      </c>
      <c r="CK36" s="65">
        <f t="shared" si="71"/>
        <v>1464455</v>
      </c>
      <c r="CL36" s="65">
        <f t="shared" si="71"/>
        <v>2030882</v>
      </c>
      <c r="CM36" s="65">
        <f t="shared" si="71"/>
        <v>3495337</v>
      </c>
      <c r="CN36" s="65">
        <f t="shared" si="71"/>
        <v>2002594</v>
      </c>
      <c r="CO36" s="65">
        <f t="shared" si="71"/>
        <v>7975621</v>
      </c>
      <c r="CP36" s="65">
        <f t="shared" si="71"/>
        <v>9978215</v>
      </c>
      <c r="CQ36" s="65">
        <f t="shared" si="71"/>
        <v>0</v>
      </c>
      <c r="CR36" s="65">
        <f t="shared" si="71"/>
        <v>0</v>
      </c>
      <c r="CS36" s="65">
        <f t="shared" si="71"/>
        <v>35035894</v>
      </c>
      <c r="CT36" s="65">
        <f t="shared" si="71"/>
        <v>1797727</v>
      </c>
      <c r="CU36" s="65">
        <f t="shared" si="71"/>
        <v>4874444</v>
      </c>
      <c r="CV36" s="65">
        <f t="shared" si="71"/>
        <v>6672171</v>
      </c>
    </row>
    <row r="37" spans="1:100" s="66" customFormat="1" x14ac:dyDescent="0.25">
      <c r="A37" s="62" t="s">
        <v>52</v>
      </c>
      <c r="B37" s="65">
        <f>B36+B20</f>
        <v>1693113</v>
      </c>
      <c r="C37" s="65">
        <f t="shared" ref="C37:BN37" si="72">C36+C20</f>
        <v>2503450</v>
      </c>
      <c r="D37" s="65">
        <f t="shared" si="72"/>
        <v>4196563</v>
      </c>
      <c r="E37" s="65">
        <f t="shared" si="72"/>
        <v>2470320</v>
      </c>
      <c r="F37" s="65">
        <f t="shared" si="72"/>
        <v>6612470</v>
      </c>
      <c r="G37" s="65">
        <f t="shared" si="72"/>
        <v>9082790</v>
      </c>
      <c r="H37" s="65">
        <f t="shared" si="72"/>
        <v>0</v>
      </c>
      <c r="I37" s="65">
        <f t="shared" si="72"/>
        <v>0</v>
      </c>
      <c r="J37" s="65">
        <f t="shared" si="72"/>
        <v>78074097</v>
      </c>
      <c r="K37" s="65">
        <f t="shared" si="72"/>
        <v>36359577</v>
      </c>
      <c r="L37" s="65">
        <f t="shared" si="72"/>
        <v>154265870</v>
      </c>
      <c r="M37" s="65">
        <f t="shared" si="72"/>
        <v>190625447</v>
      </c>
      <c r="N37" s="65">
        <f t="shared" si="72"/>
        <v>7918900</v>
      </c>
      <c r="O37" s="65">
        <f t="shared" si="72"/>
        <v>43602900</v>
      </c>
      <c r="P37" s="65">
        <f t="shared" si="72"/>
        <v>51521800</v>
      </c>
      <c r="Q37" s="65">
        <f t="shared" si="72"/>
        <v>9520785</v>
      </c>
      <c r="R37" s="65">
        <f t="shared" si="72"/>
        <v>85817621</v>
      </c>
      <c r="S37" s="65">
        <f t="shared" si="72"/>
        <v>95338406</v>
      </c>
      <c r="T37" s="65">
        <f t="shared" si="72"/>
        <v>930563</v>
      </c>
      <c r="U37" s="65">
        <f t="shared" si="72"/>
        <v>2006191</v>
      </c>
      <c r="V37" s="65">
        <f t="shared" si="72"/>
        <v>2936754</v>
      </c>
      <c r="W37" s="65">
        <f t="shared" si="72"/>
        <v>48801985.019999996</v>
      </c>
      <c r="X37" s="65">
        <f t="shared" si="72"/>
        <v>64691003.469999999</v>
      </c>
      <c r="Y37" s="65">
        <f t="shared" si="72"/>
        <v>113492988.48999999</v>
      </c>
      <c r="Z37" s="65">
        <f t="shared" si="72"/>
        <v>9339341</v>
      </c>
      <c r="AA37" s="65">
        <f t="shared" si="72"/>
        <v>36948385</v>
      </c>
      <c r="AB37" s="65">
        <f t="shared" si="72"/>
        <v>46287726</v>
      </c>
      <c r="AC37" s="65">
        <f t="shared" si="72"/>
        <v>7126904</v>
      </c>
      <c r="AD37" s="65">
        <f t="shared" si="72"/>
        <v>31982675</v>
      </c>
      <c r="AE37" s="65">
        <f t="shared" si="72"/>
        <v>39109579</v>
      </c>
      <c r="AF37" s="65">
        <f t="shared" si="72"/>
        <v>21378240</v>
      </c>
      <c r="AG37" s="65">
        <f t="shared" si="72"/>
        <v>101650421</v>
      </c>
      <c r="AH37" s="65">
        <f t="shared" si="72"/>
        <v>123028661</v>
      </c>
      <c r="AI37" s="65">
        <f t="shared" si="72"/>
        <v>5050606</v>
      </c>
      <c r="AJ37" s="65">
        <f t="shared" si="72"/>
        <v>15151817</v>
      </c>
      <c r="AK37" s="65">
        <f t="shared" si="72"/>
        <v>20202423</v>
      </c>
      <c r="AL37" s="65">
        <f t="shared" si="72"/>
        <v>63799789</v>
      </c>
      <c r="AM37" s="65">
        <f t="shared" si="72"/>
        <v>217380260</v>
      </c>
      <c r="AN37" s="65">
        <f t="shared" si="72"/>
        <v>281180049</v>
      </c>
      <c r="AO37" s="65">
        <f t="shared" si="72"/>
        <v>22695203</v>
      </c>
      <c r="AP37" s="65">
        <f t="shared" si="72"/>
        <v>82024884</v>
      </c>
      <c r="AQ37" s="65">
        <f t="shared" si="72"/>
        <v>104720087</v>
      </c>
      <c r="AR37" s="65">
        <f t="shared" si="72"/>
        <v>1777573</v>
      </c>
      <c r="AS37" s="65">
        <f t="shared" si="72"/>
        <v>5644929</v>
      </c>
      <c r="AT37" s="65">
        <f t="shared" si="72"/>
        <v>7422502</v>
      </c>
      <c r="AU37" s="65">
        <f t="shared" si="72"/>
        <v>7446078</v>
      </c>
      <c r="AV37" s="65">
        <f t="shared" si="72"/>
        <v>20220429</v>
      </c>
      <c r="AW37" s="65">
        <f t="shared" si="72"/>
        <v>27666507</v>
      </c>
      <c r="AX37" s="65">
        <f t="shared" si="72"/>
        <v>3276925</v>
      </c>
      <c r="AY37" s="65">
        <f t="shared" si="72"/>
        <v>20591182</v>
      </c>
      <c r="AZ37" s="65">
        <f t="shared" si="72"/>
        <v>23868107</v>
      </c>
      <c r="BA37" s="65">
        <f t="shared" si="72"/>
        <v>1985379</v>
      </c>
      <c r="BB37" s="65">
        <f t="shared" si="72"/>
        <v>3939572</v>
      </c>
      <c r="BC37" s="65">
        <f t="shared" si="72"/>
        <v>5924951</v>
      </c>
      <c r="BD37" s="65">
        <f t="shared" si="72"/>
        <v>3755653</v>
      </c>
      <c r="BE37" s="65">
        <f t="shared" si="72"/>
        <v>7425875</v>
      </c>
      <c r="BF37" s="65">
        <f t="shared" si="72"/>
        <v>11181528</v>
      </c>
      <c r="BG37" s="65">
        <f t="shared" si="72"/>
        <v>0</v>
      </c>
      <c r="BH37" s="65">
        <f t="shared" si="72"/>
        <v>240329786</v>
      </c>
      <c r="BI37" s="65">
        <f t="shared" si="72"/>
        <v>240329786</v>
      </c>
      <c r="BJ37" s="65">
        <f t="shared" si="72"/>
        <v>3014650</v>
      </c>
      <c r="BK37" s="65">
        <f t="shared" si="72"/>
        <v>1854171</v>
      </c>
      <c r="BL37" s="65">
        <f t="shared" si="72"/>
        <v>4868821</v>
      </c>
      <c r="BM37" s="65">
        <f t="shared" si="72"/>
        <v>173722826</v>
      </c>
      <c r="BN37" s="65">
        <f t="shared" si="72"/>
        <v>387643293</v>
      </c>
      <c r="BO37" s="65">
        <f t="shared" ref="BO37:CV37" si="73">BO36+BO20</f>
        <v>561366119</v>
      </c>
      <c r="BP37" s="65">
        <f t="shared" si="73"/>
        <v>0</v>
      </c>
      <c r="BQ37" s="65">
        <f t="shared" si="73"/>
        <v>0</v>
      </c>
      <c r="BR37" s="65">
        <f t="shared" si="73"/>
        <v>225162226</v>
      </c>
      <c r="BS37" s="65">
        <f t="shared" si="73"/>
        <v>1162374</v>
      </c>
      <c r="BT37" s="65">
        <f t="shared" si="73"/>
        <v>3563144</v>
      </c>
      <c r="BU37" s="65">
        <f t="shared" si="73"/>
        <v>4725518</v>
      </c>
      <c r="BV37" s="65">
        <f t="shared" si="73"/>
        <v>16021048</v>
      </c>
      <c r="BW37" s="65">
        <f t="shared" si="73"/>
        <v>95645233</v>
      </c>
      <c r="BX37" s="65">
        <f t="shared" si="73"/>
        <v>111666281</v>
      </c>
      <c r="BY37" s="65">
        <f t="shared" si="73"/>
        <v>10086275</v>
      </c>
      <c r="BZ37" s="65">
        <f t="shared" si="73"/>
        <v>12688016</v>
      </c>
      <c r="CA37" s="65">
        <f t="shared" si="73"/>
        <v>22774291</v>
      </c>
      <c r="CB37" s="65">
        <f t="shared" si="73"/>
        <v>11521464</v>
      </c>
      <c r="CC37" s="65">
        <f t="shared" si="73"/>
        <v>49236860</v>
      </c>
      <c r="CD37" s="65">
        <f t="shared" si="73"/>
        <v>60758324</v>
      </c>
      <c r="CE37" s="65">
        <f t="shared" si="73"/>
        <v>19786758</v>
      </c>
      <c r="CF37" s="65">
        <f t="shared" si="73"/>
        <v>57465662</v>
      </c>
      <c r="CG37" s="65">
        <f t="shared" si="73"/>
        <v>77252420</v>
      </c>
      <c r="CH37" s="65">
        <f t="shared" si="73"/>
        <v>13653459</v>
      </c>
      <c r="CI37" s="65">
        <f t="shared" si="73"/>
        <v>82199839</v>
      </c>
      <c r="CJ37" s="65">
        <f t="shared" si="73"/>
        <v>95853298</v>
      </c>
      <c r="CK37" s="65">
        <f t="shared" si="73"/>
        <v>19449068</v>
      </c>
      <c r="CL37" s="65">
        <f t="shared" si="73"/>
        <v>26971660</v>
      </c>
      <c r="CM37" s="65">
        <f t="shared" si="73"/>
        <v>46420728</v>
      </c>
      <c r="CN37" s="65">
        <f t="shared" si="73"/>
        <v>26946588</v>
      </c>
      <c r="CO37" s="65">
        <f t="shared" si="73"/>
        <v>107318688</v>
      </c>
      <c r="CP37" s="65">
        <f t="shared" si="73"/>
        <v>134265276</v>
      </c>
      <c r="CQ37" s="65">
        <f t="shared" si="73"/>
        <v>0</v>
      </c>
      <c r="CR37" s="65">
        <f t="shared" si="73"/>
        <v>0</v>
      </c>
      <c r="CS37" s="65">
        <f t="shared" si="73"/>
        <v>296788706</v>
      </c>
      <c r="CT37" s="65">
        <f t="shared" si="73"/>
        <v>8385994</v>
      </c>
      <c r="CU37" s="65">
        <f t="shared" si="73"/>
        <v>22738182</v>
      </c>
      <c r="CV37" s="65">
        <f t="shared" si="73"/>
        <v>31124176</v>
      </c>
    </row>
  </sheetData>
  <mergeCells count="34">
    <mergeCell ref="Q3:S3"/>
    <mergeCell ref="B3:D3"/>
    <mergeCell ref="E3:G3"/>
    <mergeCell ref="H3:J3"/>
    <mergeCell ref="K3:M3"/>
    <mergeCell ref="N3:P3"/>
    <mergeCell ref="BA3:BC3"/>
    <mergeCell ref="T3:V3"/>
    <mergeCell ref="W3:Y3"/>
    <mergeCell ref="Z3:AB3"/>
    <mergeCell ref="AC3:AE3"/>
    <mergeCell ref="AF3:AH3"/>
    <mergeCell ref="AI3:AK3"/>
    <mergeCell ref="AL3:AN3"/>
    <mergeCell ref="AO3:AQ3"/>
    <mergeCell ref="AR3:AT3"/>
    <mergeCell ref="AU3:AW3"/>
    <mergeCell ref="AX3:AZ3"/>
    <mergeCell ref="CN3:CP3"/>
    <mergeCell ref="CQ3:CS3"/>
    <mergeCell ref="CT3:CV3"/>
    <mergeCell ref="A3:A4"/>
    <mergeCell ref="BV3:BX3"/>
    <mergeCell ref="BY3:CA3"/>
    <mergeCell ref="CB3:CD3"/>
    <mergeCell ref="CE3:CG3"/>
    <mergeCell ref="CH3:CJ3"/>
    <mergeCell ref="CK3:CM3"/>
    <mergeCell ref="BD3:BF3"/>
    <mergeCell ref="BG3:BI3"/>
    <mergeCell ref="BJ3:BL3"/>
    <mergeCell ref="BM3:BO3"/>
    <mergeCell ref="BP3:BR3"/>
    <mergeCell ref="BS3:B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NL1</vt:lpstr>
      <vt:lpstr>NL2</vt:lpstr>
      <vt:lpstr>NL3</vt:lpstr>
      <vt:lpstr>NL4</vt:lpstr>
      <vt:lpstr>NL5</vt:lpstr>
      <vt:lpstr>NL6</vt:lpstr>
      <vt:lpstr>NL7</vt:lpstr>
      <vt:lpstr>NL10</vt:lpstr>
      <vt:lpstr>NL12</vt:lpstr>
      <vt:lpstr>NL13</vt:lpstr>
      <vt:lpstr>NL14</vt:lpstr>
      <vt:lpstr>NL15</vt:lpstr>
      <vt:lpstr>NL17</vt:lpstr>
      <vt:lpstr>NL23</vt:lpstr>
      <vt:lpstr>NL25</vt:lpstr>
      <vt:lpstr>NL30</vt:lpstr>
      <vt:lpstr>NL33</vt:lpstr>
      <vt:lpstr>NL40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2021-03-15T08:39:10Z</dcterms:modified>
</cp:coreProperties>
</file>